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Exhibits 13.5-13.6" sheetId="1" r:id="rId1"/>
    <sheet name="Exhibits 13.9-13.10" sheetId="2" r:id="rId2"/>
    <sheet name="Exhibit 13.12 to 13" sheetId="3" r:id="rId3"/>
    <sheet name="Exhibit 13.14" sheetId="4" r:id="rId4"/>
    <sheet name="Exhibit 13.15" sheetId="5" r:id="rId5"/>
    <sheet name="Exhibit 13.16" sheetId="6" r:id="rId6"/>
    <sheet name="Exhibit 13.17 " sheetId="7" r:id="rId7"/>
    <sheet name="Exhibit 13.18-13.19" sheetId="8" r:id="rId8"/>
    <sheet name="Exhibit 13.21" sheetId="9" r:id="rId9"/>
    <sheet name="Solved Problem 1" sheetId="10" r:id="rId10"/>
    <sheet name="SolvedProblem3" sheetId="11" r:id="rId11"/>
    <sheet name="Solved Problem 4" sheetId="12" r:id="rId12"/>
  </sheets>
  <externalReferences>
    <externalReference r:id="rId15"/>
  </externalReferences>
  <definedNames>
    <definedName name="a">'[1]Linear Model'!$BC$23</definedName>
    <definedName name="Ad_Expense">'[1]Linear Model'!$C$8:$C$43</definedName>
    <definedName name="Adjusted_R_Square">'[1]Linear Model'!#REF!</definedName>
    <definedName name="alpha">#REF!</definedName>
    <definedName name="Alpha_1">'[1]TrendAdjusted'!$D$55</definedName>
    <definedName name="Alpha_2">'[1]TrendAdjusted'!$D$56</definedName>
    <definedName name="Answer">'[1]Linear Model'!$AH$6:$AH$62</definedName>
    <definedName name="Answer_allowance">'[1]Linear Model'!$AX$11</definedName>
    <definedName name="B">'[1]Linear Model'!$BC$24</definedName>
    <definedName name="Begin_Time">'[1]Linear Model'!$AH$74</definedName>
    <definedName name="Computed_t">'[1]Linear Model'!$AX$16</definedName>
    <definedName name="Confidence_level">'[1]Linear Model'!$AX$10</definedName>
    <definedName name="Critical_t">'[1]Linear Model'!$AX$17</definedName>
    <definedName name="dfE">'[1]Linear Model'!$BN$47</definedName>
    <definedName name="dfTR">'[1]Linear Model'!#REF!</definedName>
    <definedName name="Diff">'[1]Linear Model'!$AC$16:$AC$67</definedName>
    <definedName name="Direction_randomizer">'[1]Linear Model'!#REF!</definedName>
    <definedName name="Elapsed_Time__hours">'[1]Linear Model'!$AH$77</definedName>
    <definedName name="Elapsed_Time__mins">'[1]Linear Model'!$AH$76</definedName>
    <definedName name="End_Time">'[1]Linear Model'!$AH$75</definedName>
    <definedName name="Graph">'[1]Linear Model'!$A$175:$J$218</definedName>
    <definedName name="Intercept">'[1]Linear Model'!$BM$51</definedName>
    <definedName name="LookupTable">#REF!</definedName>
    <definedName name="LookupTable_TAdjusted">'[1]TrendAdjusted'!$B$8:$D$36</definedName>
    <definedName name="MSE">'[1]Linear Model'!#REF!</definedName>
    <definedName name="MSTR">'[1]Linear Model'!#REF!</definedName>
    <definedName name="Multiple_R">'[1]Linear Model'!#REF!</definedName>
    <definedName name="n">'[1]Linear Model'!$AX$15</definedName>
    <definedName name="Observations">'[1]Linear Model'!$BM$41</definedName>
    <definedName name="PlannedAdExpense">'[1]Linear Model'!$AX$12</definedName>
    <definedName name="Points">'[1]Linear Model'!$AI$5:$AI$22</definedName>
    <definedName name="pvalue">'[1]Linear Model'!$AH$57</definedName>
    <definedName name="R_Square">'[1]Linear Model'!$BM$39</definedName>
    <definedName name="Randomizer">'[1]Linear Model'!$AX$9</definedName>
    <definedName name="Regression_Output">'[1]Linear Model'!$BK$32:$BS$75</definedName>
    <definedName name="s">'[1]Linear Model'!$BM$40</definedName>
    <definedName name="Sales">'[1]Linear Model'!$D$8:$D$43</definedName>
    <definedName name="Significance_level">'[1]Linear Model'!$AX$8</definedName>
    <definedName name="Significance_level_table">'[1]Linear Model'!$AX$1:$AZ$1</definedName>
    <definedName name="Slope">'[1]Linear Model'!$BM$52</definedName>
    <definedName name="slope_p_value">'[1]Linear Model'!$BP$52</definedName>
    <definedName name="Smoothing_Constant">#REF!</definedName>
    <definedName name="SSE">'[1]Linear Model'!$BM$47</definedName>
    <definedName name="SSR">'[1]Linear Model'!$BM$46</definedName>
    <definedName name="SSTR">'[1]Linear Model'!#REF!</definedName>
    <definedName name="SSx">'[1]Linear Model'!$BC$26</definedName>
    <definedName name="SSxy">'[1]Linear Model'!$BC$25</definedName>
    <definedName name="SSy">'[1]Linear Model'!$BC$27</definedName>
    <definedName name="Time_period">'[1]TrendAdjusted'!$D$57</definedName>
    <definedName name="Time_Period1">#REF!</definedName>
    <definedName name="TimePeriod1">'[1]TrendAdjusted'!$D$57</definedName>
    <definedName name="x">'[1]Linear Model'!$BB$34:$BB$76</definedName>
    <definedName name="x2_">'[1]Linear Model'!$BD$34:$BD$76</definedName>
    <definedName name="XY">'[1]Linear Model'!$BF$34:$BF$76</definedName>
    <definedName name="y">'[1]Linear Model'!$BC$34:$BC$76</definedName>
    <definedName name="Y_hat">'[1]Linear Model'!$AH$42</definedName>
    <definedName name="Y_hat_LL">'[1]Linear Model'!$AX$15</definedName>
    <definedName name="Y_hat_UL">'[1]Linear Model'!$AX$14</definedName>
    <definedName name="y2_">'[1]Linear Model'!$BE$34:$BE$76</definedName>
    <definedName name="Ybar">'[1]Linear Model'!$BG$34:$BG$76</definedName>
    <definedName name="Year">'[1]Linear Model'!$B$8:$B$51</definedName>
    <definedName name="Your_Answer">'[1]Linear Model'!$AG$6:$AG$67</definedName>
  </definedNames>
  <calcPr fullCalcOnLoad="1"/>
</workbook>
</file>

<file path=xl/sharedStrings.xml><?xml version="1.0" encoding="utf-8"?>
<sst xmlns="http://schemas.openxmlformats.org/spreadsheetml/2006/main" count="260" uniqueCount="151">
  <si>
    <t xml:space="preserve">Week </t>
  </si>
  <si>
    <t>Demand</t>
  </si>
  <si>
    <t>3 Week</t>
  </si>
  <si>
    <t>9 Week</t>
  </si>
  <si>
    <t>Simple
Moving Averages</t>
  </si>
  <si>
    <t>Month</t>
  </si>
  <si>
    <t>Demand Forecast</t>
  </si>
  <si>
    <t>Actual</t>
  </si>
  <si>
    <t>RSFE</t>
  </si>
  <si>
    <t>Abs. Dev.</t>
  </si>
  <si>
    <t>Sum of Abs. Dev.</t>
  </si>
  <si>
    <t>MAD*</t>
  </si>
  <si>
    <t>TS=RSFE/MAD</t>
  </si>
  <si>
    <t>Deviation
(Error)</t>
  </si>
  <si>
    <t>= Mean Absolute Deviation</t>
  </si>
  <si>
    <t>= Tracking Signal</t>
  </si>
  <si>
    <t>= 3-sigma Upper Control Limit</t>
  </si>
  <si>
    <t>= 3-sigma Lower Control Limit</t>
  </si>
  <si>
    <t>Year</t>
  </si>
  <si>
    <t>Number of Housing Start Permits</t>
  </si>
  <si>
    <t>Sales (in Sq. Yds.)</t>
  </si>
  <si>
    <t>F</t>
  </si>
  <si>
    <t>Qtr</t>
  </si>
  <si>
    <t>Intercept</t>
  </si>
  <si>
    <t>x</t>
  </si>
  <si>
    <t>y</t>
  </si>
  <si>
    <t>xy</t>
  </si>
  <si>
    <t>(1)</t>
  </si>
  <si>
    <t>(2)</t>
  </si>
  <si>
    <t>(3)</t>
  </si>
  <si>
    <t>(4)</t>
  </si>
  <si>
    <t>(5)</t>
  </si>
  <si>
    <t>(6)</t>
  </si>
  <si>
    <t>Ŷ</t>
  </si>
  <si>
    <t>= Y-bar</t>
  </si>
  <si>
    <t>= X-bar</t>
  </si>
  <si>
    <t>= b</t>
  </si>
  <si>
    <t>= a</t>
  </si>
  <si>
    <t>Trendline</t>
  </si>
  <si>
    <t>Additive Index</t>
  </si>
  <si>
    <t>Additive Demand</t>
  </si>
  <si>
    <t>Multiplicative Index</t>
  </si>
  <si>
    <t>Multiplicative Demand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</si>
  <si>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</si>
  <si>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</si>
  <si>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</si>
  <si>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</si>
  <si>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</si>
  <si>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</si>
  <si>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</si>
  <si>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</si>
  <si>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</si>
  <si>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</si>
  <si>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</si>
  <si>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</si>
  <si>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</si>
  <si>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</si>
  <si>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</si>
  <si>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</si>
  <si>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</si>
  <si>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</si>
  <si>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</si>
  <si>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</si>
  <si>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</si>
  <si>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</si>
  <si>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</si>
  <si>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The regression analysis below uses the regression procedure that is accessed from the "Data Analysis" package that is found under the "Tools" menu.</t>
  </si>
  <si>
    <r>
      <t>x</t>
    </r>
    <r>
      <rPr>
        <b/>
        <i/>
        <vertAlign val="superscript"/>
        <sz val="10"/>
        <rFont val="Arial"/>
        <family val="2"/>
      </rPr>
      <t>2</t>
    </r>
  </si>
  <si>
    <r>
      <t>y</t>
    </r>
    <r>
      <rPr>
        <b/>
        <i/>
        <vertAlign val="superscript"/>
        <sz val="10"/>
        <rFont val="Arial"/>
        <family val="2"/>
      </rPr>
      <t>2</t>
    </r>
  </si>
  <si>
    <t>II</t>
  </si>
  <si>
    <t>I</t>
  </si>
  <si>
    <t>III</t>
  </si>
  <si>
    <t>IV</t>
  </si>
  <si>
    <t>Actual Amount</t>
  </si>
  <si>
    <t>(from eyeballing)</t>
  </si>
  <si>
    <t>From Trend Equation</t>
  </si>
  <si>
    <r>
      <t>T</t>
    </r>
    <r>
      <rPr>
        <i/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170 + 55</t>
    </r>
    <r>
      <rPr>
        <i/>
        <sz val="10"/>
        <rFont val="Arial"/>
        <family val="2"/>
      </rPr>
      <t>t</t>
    </r>
  </si>
  <si>
    <t>Ratio of Actual/Trend</t>
  </si>
  <si>
    <t>Seasonal Factor (Ave. of Same Qtrs in Both Years)</t>
  </si>
  <si>
    <t>(y)</t>
  </si>
  <si>
    <t>Period (x)</t>
  </si>
  <si>
    <t>Average of the  Same Qtr of Each Year</t>
  </si>
  <si>
    <t>Seasonal Factor</t>
  </si>
  <si>
    <r>
      <t>Deseas. Demand (y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</si>
  <si>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t>Col. (3) / Col.(5)</t>
  </si>
  <si>
    <t>(7)</t>
  </si>
  <si>
    <r>
      <t>x</t>
    </r>
    <r>
      <rPr>
        <vertAlign val="superscript"/>
        <sz val="10"/>
        <rFont val="Arial"/>
        <family val="2"/>
      </rPr>
      <t>2</t>
    </r>
  </si>
  <si>
    <r>
      <t>(Col. 1)</t>
    </r>
    <r>
      <rPr>
        <vertAlign val="superscript"/>
        <sz val="10"/>
        <rFont val="Arial"/>
        <family val="2"/>
      </rPr>
      <t>2</t>
    </r>
  </si>
  <si>
    <t>(8)</t>
  </si>
  <si>
    <r>
      <t>x × y</t>
    </r>
    <r>
      <rPr>
        <vertAlign val="subscript"/>
        <sz val="10"/>
        <rFont val="Arial"/>
        <family val="2"/>
      </rPr>
      <t>d</t>
    </r>
  </si>
  <si>
    <t>Col. (1) × Col. (6)</t>
  </si>
  <si>
    <t>Period</t>
  </si>
  <si>
    <t xml:space="preserve">Actual </t>
  </si>
  <si>
    <t>Forecast</t>
  </si>
  <si>
    <t>October</t>
  </si>
  <si>
    <t>November</t>
  </si>
  <si>
    <t>December</t>
  </si>
  <si>
    <t>January</t>
  </si>
  <si>
    <t>February</t>
  </si>
  <si>
    <t>March</t>
  </si>
  <si>
    <t>Solution</t>
  </si>
  <si>
    <t>Actual Demand</t>
  </si>
  <si>
    <t>Forecast Demand</t>
  </si>
  <si>
    <t>Actual Deviation</t>
  </si>
  <si>
    <t>Cumulative Deviation (RSFE)</t>
  </si>
  <si>
    <t>Absolute Deviation</t>
  </si>
  <si>
    <t>MAD =</t>
  </si>
  <si>
    <t>Tracking Signal =</t>
  </si>
  <si>
    <t>Solved Problem 3</t>
  </si>
  <si>
    <t>Average</t>
  </si>
  <si>
    <t>Solved Problem 1</t>
  </si>
  <si>
    <t>4 Weeks Ago</t>
  </si>
  <si>
    <t>3 Weeks Ago</t>
  </si>
  <si>
    <t>2 Weeks Ago</t>
  </si>
  <si>
    <t>Last Week</t>
  </si>
  <si>
    <t>Monday</t>
  </si>
  <si>
    <t>Tuesday</t>
  </si>
  <si>
    <t>Wednesday</t>
  </si>
  <si>
    <t>Thursday</t>
  </si>
  <si>
    <t>Friday</t>
  </si>
  <si>
    <t>Saturday</t>
  </si>
  <si>
    <t>Sunday</t>
  </si>
  <si>
    <t>Solution:</t>
  </si>
  <si>
    <t>(a) Simple 4-wk Moving Average</t>
  </si>
  <si>
    <t>Simple 4-wk</t>
  </si>
  <si>
    <t>Moving</t>
  </si>
  <si>
    <t>(b) Weighted Average</t>
  </si>
  <si>
    <t>Weighted</t>
  </si>
  <si>
    <t>Weights</t>
  </si>
  <si>
    <t xml:space="preserve">Moving </t>
  </si>
  <si>
    <t>=</t>
  </si>
  <si>
    <t>DESEASONALIZED</t>
  </si>
  <si>
    <t>SEASONALIZED</t>
  </si>
  <si>
    <t>FORECAST</t>
  </si>
  <si>
    <t>Seasonal</t>
  </si>
  <si>
    <t>Factor</t>
  </si>
  <si>
    <r>
      <t>y</t>
    </r>
    <r>
      <rPr>
        <vertAlign val="subscript"/>
        <sz val="10"/>
        <rFont val="Arial"/>
        <family val="2"/>
      </rPr>
      <t>d</t>
    </r>
  </si>
  <si>
    <r>
      <t>y</t>
    </r>
    <r>
      <rPr>
        <vertAlign val="subscript"/>
        <sz val="10"/>
        <rFont val="Arial"/>
        <family val="2"/>
      </rPr>
      <t>s</t>
    </r>
  </si>
  <si>
    <t>Exhibit 13.5</t>
  </si>
  <si>
    <t>Exhibit 13.9</t>
  </si>
  <si>
    <t>Exhibit 13.15 - Additive/multiplicative seasonal variation</t>
  </si>
  <si>
    <t>Exhibit 13.16 - Plot of Quarterly Demand History</t>
  </si>
  <si>
    <r>
      <t>Trend</t>
    </r>
    <r>
      <rPr>
        <b/>
        <i/>
        <vertAlign val="subscript"/>
        <sz val="12"/>
        <rFont val="Arial"/>
        <family val="2"/>
      </rPr>
      <t xml:space="preserve">t </t>
    </r>
    <r>
      <rPr>
        <b/>
        <sz val="12"/>
        <rFont val="Arial"/>
        <family val="2"/>
      </rPr>
      <t>= 170 + 55</t>
    </r>
    <r>
      <rPr>
        <b/>
        <i/>
        <sz val="12"/>
        <rFont val="Arial"/>
        <family val="2"/>
      </rPr>
      <t>t</t>
    </r>
  </si>
  <si>
    <t>Exhibit 13.17 - Computing a Seasonal Factor from the Actual Data and Trend Line</t>
  </si>
  <si>
    <t>Exhibit 13.18 - Deseasonalized Demand</t>
  </si>
  <si>
    <t>Exhibit 13.19 - Straight Line Grpah of Deseasonalized Equation</t>
  </si>
  <si>
    <t>Exhibit 13.21</t>
  </si>
  <si>
    <t>Exhibit13.13  - Least squares regression analysis</t>
  </si>
  <si>
    <t>Quarter</t>
  </si>
  <si>
    <t>Sales</t>
  </si>
  <si>
    <t xml:space="preserve">Least Squares Regression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</si>
</sst>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  <numFmt numFmtId="166" formatCode="#,##0.0"/>
    <numFmt numFmtId="167" formatCode="#,##0.000"/>
    <numFmt numFmtId="168" formatCode="#,##0__"/>
    <numFmt numFmtId="169" formatCode="#,##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"/>
    <numFmt numFmtId="174" formatCode="_(* #,##0.0_);_(* \(#,##0.0\);_(* &quot;-&quot;??_);_(@_)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_(* #,##0_);_(* \(#,##0\);_(* &quot;-&quot;??_);_(@_)"/>
    <numFmt numFmtId="182" formatCode="00000"/>
    <numFmt numFmtId="183" formatCode="#\ ?/4"/>
    <numFmt numFmtId="184" formatCode="[$-409]m/d/yy\ h:mm\ AM/PM;@"/>
    <numFmt numFmtId="185" formatCode="0.0%"/>
    <numFmt numFmtId="186" formatCode="0.000%"/>
    <numFmt numFmtId="187" formatCode="0.0000000000"/>
    <numFmt numFmtId="188" formatCode="0.00000000000"/>
    <numFmt numFmtId="189" formatCode="0.000000000000"/>
    <numFmt numFmtId="190" formatCode="0.000000000"/>
    <numFmt numFmtId="191" formatCode="[$-409]dddd\,\ mmmm\ dd\,\ yyyy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31">
    <font>
      <sz val="10"/>
      <name val="Arial"/>
      <family val="0"/>
    </font>
    <font>
      <b/>
      <sz val="10"/>
      <name val="Arial"/>
      <family val="2"/>
    </font>
    <font>
      <sz val="15.5"/>
      <name val="Arial"/>
      <family val="0"/>
    </font>
    <font>
      <sz val="15"/>
      <name val="Arial"/>
      <family val="0"/>
    </font>
    <font>
      <sz val="8"/>
      <name val="Arial"/>
      <family val="2"/>
    </font>
    <font>
      <b/>
      <sz val="9.25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sz val="18.2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vertAlign val="subscript"/>
      <sz val="12"/>
      <name val="Arial"/>
      <family val="2"/>
    </font>
    <font>
      <sz val="10"/>
      <color indexed="9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Lucida Console"/>
      <family val="3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Continuous"/>
    </xf>
    <xf numFmtId="164" fontId="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 horizont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69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69" fontId="0" fillId="0" borderId="1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173" fontId="0" fillId="0" borderId="1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wrapText="1"/>
    </xf>
    <xf numFmtId="168" fontId="0" fillId="0" borderId="0" xfId="0" applyNumberFormat="1" applyFont="1" applyAlignment="1">
      <alignment horizontal="right"/>
    </xf>
    <xf numFmtId="164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78" fontId="0" fillId="0" borderId="0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2" fontId="22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74" fontId="0" fillId="0" borderId="1" xfId="15" applyNumberFormat="1" applyFont="1" applyBorder="1" applyAlignment="1">
      <alignment horizontal="center"/>
    </xf>
    <xf numFmtId="174" fontId="0" fillId="0" borderId="0" xfId="15" applyNumberFormat="1" applyAlignment="1">
      <alignment horizontal="center"/>
    </xf>
    <xf numFmtId="181" fontId="0" fillId="0" borderId="1" xfId="15" applyNumberFormat="1" applyBorder="1" applyAlignment="1">
      <alignment horizontal="center"/>
    </xf>
    <xf numFmtId="181" fontId="0" fillId="0" borderId="0" xfId="15" applyNumberFormat="1" applyBorder="1" applyAlignment="1">
      <alignment horizontal="center"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3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/>
    </xf>
    <xf numFmtId="3" fontId="0" fillId="2" borderId="0" xfId="0" applyNumberFormat="1" applyFill="1" applyAlignment="1">
      <alignment horizontal="center"/>
    </xf>
    <xf numFmtId="0" fontId="0" fillId="2" borderId="1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/>
    </xf>
    <xf numFmtId="169" fontId="0" fillId="2" borderId="0" xfId="0" applyNumberFormat="1" applyFont="1" applyFill="1" applyAlignment="1">
      <alignment horizontal="right"/>
    </xf>
    <xf numFmtId="173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176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9" fontId="0" fillId="2" borderId="1" xfId="0" applyNumberFormat="1" applyFont="1" applyFill="1" applyBorder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76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Exhibit 13.6: 3-wk and 9-wk 
Simple Moving Averages</a:t>
            </a:r>
          </a:p>
        </c:rich>
      </c:tx>
      <c:layout>
        <c:manualLayout>
          <c:xMode val="factor"/>
          <c:yMode val="factor"/>
          <c:x val="-0.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025"/>
          <c:w val="0.937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v>Actual Demand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13.5-13.6'!$B$6:$B$35</c:f>
              <c:numCache/>
            </c:numRef>
          </c:xVal>
          <c:yVal>
            <c:numRef>
              <c:f>'Exhibits 13.5-13.6'!$C$6:$C$35</c:f>
              <c:numCache/>
            </c:numRef>
          </c:yVal>
          <c:smooth val="0"/>
        </c:ser>
        <c:ser>
          <c:idx val="1"/>
          <c:order val="1"/>
          <c:tx>
            <c:v>3-Wk Moving Average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13.5-13.6'!$B$6:$B$35</c:f>
              <c:numCache/>
            </c:numRef>
          </c:xVal>
          <c:yVal>
            <c:numRef>
              <c:f>'Exhibits 13.5-13.6'!$D$6:$D$35</c:f>
              <c:numCache/>
            </c:numRef>
          </c:yVal>
          <c:smooth val="0"/>
        </c:ser>
        <c:ser>
          <c:idx val="2"/>
          <c:order val="2"/>
          <c:tx>
            <c:v>9-Wk Moving Average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13.5-13.6'!$B$6:$B$35</c:f>
              <c:numCache/>
            </c:numRef>
          </c:xVal>
          <c:yVal>
            <c:numRef>
              <c:f>'Exhibits 13.5-13.6'!$E$6:$E$35</c:f>
              <c:numCache/>
            </c:numRef>
          </c:yVal>
          <c:smooth val="0"/>
        </c:ser>
        <c:axId val="28319889"/>
        <c:axId val="53552410"/>
      </c:scatterChart>
      <c:valAx>
        <c:axId val="28319889"/>
        <c:scaling>
          <c:orientation val="minMax"/>
          <c:max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52410"/>
        <c:crosses val="autoZero"/>
        <c:crossBetween val="midCat"/>
        <c:dispUnits/>
        <c:majorUnit val="4"/>
        <c:minorUnit val="2"/>
      </c:valAx>
      <c:valAx>
        <c:axId val="5355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1988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0285"/>
          <c:w val="0.308"/>
          <c:h val="0.137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Exhibit 13.10 - Tracking Signals</a:t>
            </a:r>
          </a:p>
        </c:rich>
      </c:tx>
      <c:layout>
        <c:manualLayout>
          <c:xMode val="factor"/>
          <c:yMode val="factor"/>
          <c:x val="-0.2585"/>
          <c:y val="0.0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9"/>
          <c:w val="0.884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v>Tracking Signals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'Exhibits 13.9-13.10'!$B$5:$B$10</c:f>
              <c:numCache/>
            </c:numRef>
          </c:xVal>
          <c:yVal>
            <c:numRef>
              <c:f>'Exhibits 13.9-13.10'!$J$5:$J$10</c:f>
              <c:numCache/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13.9-13.10'!$D$19:$D$20</c:f>
              <c:numCache/>
            </c:numRef>
          </c:xVal>
          <c:yVal>
            <c:numRef>
              <c:f>'Exhibits 13.9-13.10'!$E$19:$E$20</c:f>
              <c:numCache/>
            </c:numRef>
          </c:yVal>
          <c:smooth val="0"/>
        </c:ser>
        <c:ser>
          <c:idx val="2"/>
          <c:order val="2"/>
          <c:tx>
            <c:v>Lower Control Limits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13.9-13.10'!$D$19:$D$20</c:f>
              <c:numCache/>
            </c:numRef>
          </c:xVal>
          <c:yVal>
            <c:numRef>
              <c:f>'Exhibits 13.9-13.10'!$F$19:$F$20</c:f>
              <c:numCache/>
            </c:numRef>
          </c:yVal>
          <c:smooth val="0"/>
        </c:ser>
        <c:axId val="12209643"/>
        <c:axId val="42777924"/>
      </c:scatterChart>
      <c:valAx>
        <c:axId val="12209643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77924"/>
        <c:crossesAt val="-5"/>
        <c:crossBetween val="midCat"/>
        <c:dispUnits/>
      </c:valAx>
      <c:valAx>
        <c:axId val="42777924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Tracking 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0;\-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09643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"/>
          <c:w val="0.346"/>
          <c:h val="0.20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Exhibit 13.12 Least Squares Regression Line</a:t>
            </a:r>
          </a:p>
        </c:rich>
      </c:tx>
      <c:layout>
        <c:manualLayout>
          <c:xMode val="factor"/>
          <c:yMode val="factor"/>
          <c:x val="-0.244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75"/>
          <c:w val="0.9205"/>
          <c:h val="0.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'Exhibit 13.12 to 13'!$C$6:$C$17</c:f>
              <c:numCache/>
            </c:numRef>
          </c:yVal>
          <c:smooth val="0"/>
        </c:ser>
        <c:axId val="49456997"/>
        <c:axId val="42459790"/>
      </c:scatterChart>
      <c:valAx>
        <c:axId val="4945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59790"/>
        <c:crosses val="autoZero"/>
        <c:crossBetween val="midCat"/>
        <c:dispUnits/>
      </c:valAx>
      <c:valAx>
        <c:axId val="4245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699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12700">
      <a:solidFill>
        <a:srgbClr val="99CCFF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Series Plot - Additive vs. Multiplicative 
Seasonalized Demands</a:t>
            </a:r>
          </a:p>
        </c:rich>
      </c:tx>
      <c:layout>
        <c:manualLayout>
          <c:xMode val="factor"/>
          <c:yMode val="factor"/>
          <c:x val="-0.192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015"/>
          <c:w val="0.924"/>
          <c:h val="0.707"/>
        </c:manualLayout>
      </c:layout>
      <c:scatterChart>
        <c:scatterStyle val="smooth"/>
        <c:varyColors val="0"/>
        <c:ser>
          <c:idx val="0"/>
          <c:order val="0"/>
          <c:tx>
            <c:v>Trend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13.15'!$B$19:$B$66</c:f>
              <c:numCache/>
            </c:numRef>
          </c:xVal>
          <c:yVal>
            <c:numRef>
              <c:f>'Exhibit 13.15'!$C$19:$C$66</c:f>
              <c:numCache/>
            </c:numRef>
          </c:yVal>
          <c:smooth val="1"/>
        </c:ser>
        <c:ser>
          <c:idx val="1"/>
          <c:order val="1"/>
          <c:tx>
            <c:v>Additive Seasonal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13.15'!$B$19:$B$66</c:f>
              <c:numCache/>
            </c:numRef>
          </c:xVal>
          <c:yVal>
            <c:numRef>
              <c:f>'Exhibit 13.15'!$E$19:$E$66</c:f>
              <c:numCache/>
            </c:numRef>
          </c:yVal>
          <c:smooth val="1"/>
        </c:ser>
        <c:ser>
          <c:idx val="2"/>
          <c:order val="2"/>
          <c:tx>
            <c:v>Multiplicative Seasonal Demand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13.15'!$B$19:$B$66</c:f>
              <c:numCache/>
            </c:numRef>
          </c:xVal>
          <c:yVal>
            <c:numRef>
              <c:f>'Exhibit 13.15'!$G$19:$G$66</c:f>
              <c:numCache/>
            </c:numRef>
          </c:yVal>
          <c:smooth val="1"/>
        </c:ser>
        <c:axId val="46593791"/>
        <c:axId val="16690936"/>
      </c:scatterChart>
      <c:valAx>
        <c:axId val="465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90936"/>
        <c:crosses val="autoZero"/>
        <c:crossBetween val="midCat"/>
        <c:dispUnits/>
      </c:valAx>
      <c:valAx>
        <c:axId val="1669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93791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975"/>
          <c:y val="0.0135"/>
          <c:w val="0.27575"/>
          <c:h val="0.2042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325"/>
          <c:w val="0.947"/>
          <c:h val="0.86025"/>
        </c:manualLayout>
      </c:layout>
      <c:lineChart>
        <c:grouping val="standard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'Exhibit 13.16'!$C$5:$C$12</c:f>
              <c:strCache/>
            </c:strRef>
          </c:cat>
          <c:val>
            <c:numRef>
              <c:f>'Exhibit 13.16'!$D$5:$D$12</c:f>
              <c:numCache/>
            </c:numRef>
          </c:val>
          <c:smooth val="0"/>
        </c:ser>
        <c:marker val="1"/>
        <c:axId val="16000697"/>
        <c:axId val="9788546"/>
      </c:lineChart>
      <c:catAx>
        <c:axId val="1600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Quarter, By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88546"/>
        <c:crosses val="autoZero"/>
        <c:auto val="1"/>
        <c:lblOffset val="100"/>
        <c:noMultiLvlLbl val="0"/>
      </c:catAx>
      <c:valAx>
        <c:axId val="9788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0069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1575"/>
          <c:y val="0.71325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59"/>
          <c:w val="0.846"/>
          <c:h val="0.82"/>
        </c:manualLayout>
      </c:layout>
      <c:scatterChart>
        <c:scatterStyle val="smoothMarker"/>
        <c:varyColors val="0"/>
        <c:ser>
          <c:idx val="0"/>
          <c:order val="0"/>
          <c:tx>
            <c:v>Original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Deseasonalized equation
y = 554.9 + 342.2x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'Exhibit 13.18-13.19'!$B$8:$B$19</c:f>
              <c:numCache/>
            </c:numRef>
          </c:xVal>
          <c:yVal>
            <c:numRef>
              <c:f>'Exhibit 13.18-13.19'!$D$8:$D$19</c:f>
              <c:numCache/>
            </c:numRef>
          </c:yVal>
          <c:smooth val="1"/>
        </c:ser>
        <c:ser>
          <c:idx val="1"/>
          <c:order val="1"/>
          <c:tx>
            <c:v>Deseasonalized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'Exhibit 13.18-13.19'!$B$8:$B$19</c:f>
              <c:numCache/>
            </c:numRef>
          </c:xVal>
          <c:yVal>
            <c:numRef>
              <c:f>'Exhibit 13.18-13.19'!$G$8:$G$19</c:f>
              <c:numCache/>
            </c:numRef>
          </c:yVal>
          <c:smooth val="1"/>
        </c:ser>
        <c:axId val="20988051"/>
        <c:axId val="54674732"/>
      </c:scatterChart>
      <c:valAx>
        <c:axId val="2098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74732"/>
        <c:crosses val="autoZero"/>
        <c:crossBetween val="midCat"/>
        <c:dispUnits/>
      </c:valAx>
      <c:valAx>
        <c:axId val="5467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805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008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'Exhibit 13.21'!$C$5:$C$13</c:f>
              <c:numCache/>
            </c:numRef>
          </c:xVal>
          <c:yVal>
            <c:numRef>
              <c:f>'Exhibit 13.21'!$D$5:$D$13</c:f>
              <c:numCache/>
            </c:numRef>
          </c:yVal>
          <c:smooth val="1"/>
        </c:ser>
        <c:axId val="22310541"/>
        <c:axId val="66577142"/>
      </c:scatterChart>
      <c:valAx>
        <c:axId val="2231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Housing Start Permits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7142"/>
        <c:crosses val="autoZero"/>
        <c:crossBetween val="midCat"/>
        <c:dispUnits/>
      </c:valAx>
      <c:valAx>
        <c:axId val="6657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 (sq. yrds.)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054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825"/>
          <c:w val="0.9172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'Solved Problem 4'!$B$9:$B$20</c:f>
              <c:numCache/>
            </c:numRef>
          </c:xVal>
          <c:yVal>
            <c:numRef>
              <c:f>'Solved Problem 4'!$C$9:$C$20</c:f>
              <c:numCache/>
            </c:numRef>
          </c:yVal>
          <c:smooth val="0"/>
        </c:ser>
        <c:ser>
          <c:idx val="1"/>
          <c:order val="1"/>
          <c:tx>
            <c:v>Trend Data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'Solved Problem 4'!$B$9:$B$20</c:f>
              <c:numCache/>
            </c:numRef>
          </c:xVal>
          <c:yVal>
            <c:numRef>
              <c:f>'Solved Problem 4'!$G$9:$G$20</c:f>
              <c:numCache/>
            </c:numRef>
          </c:yVal>
          <c:smooth val="0"/>
        </c:ser>
        <c:axId val="62323367"/>
        <c:axId val="24039392"/>
      </c:scatterChart>
      <c:valAx>
        <c:axId val="623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9392"/>
        <c:crosses val="autoZero"/>
        <c:crossBetween val="midCat"/>
        <c:dispUnits/>
      </c:valAx>
      <c:valAx>
        <c:axId val="2403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2336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661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152400</xdr:rowOff>
    </xdr:from>
    <xdr:to>
      <xdr:col>14</xdr:col>
      <xdr:colOff>581025</xdr:colOff>
      <xdr:row>28</xdr:row>
      <xdr:rowOff>19050</xdr:rowOff>
    </xdr:to>
    <xdr:graphicFrame>
      <xdr:nvGraphicFramePr>
        <xdr:cNvPr id="1" name="Chart 5"/>
        <xdr:cNvGraphicFramePr/>
      </xdr:nvGraphicFramePr>
      <xdr:xfrm>
        <a:off x="3581400" y="990600"/>
        <a:ext cx="53721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17</xdr:row>
      <xdr:rowOff>142875</xdr:rowOff>
    </xdr:from>
    <xdr:to>
      <xdr:col>7</xdr:col>
      <xdr:colOff>600075</xdr:colOff>
      <xdr:row>35</xdr:row>
      <xdr:rowOff>38100</xdr:rowOff>
    </xdr:to>
    <xdr:graphicFrame>
      <xdr:nvGraphicFramePr>
        <xdr:cNvPr id="1" name="Chart 3"/>
        <xdr:cNvGraphicFramePr/>
      </xdr:nvGraphicFramePr>
      <xdr:xfrm>
        <a:off x="933450" y="3076575"/>
        <a:ext cx="43815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26</xdr:row>
      <xdr:rowOff>57150</xdr:rowOff>
    </xdr:from>
    <xdr:to>
      <xdr:col>8</xdr:col>
      <xdr:colOff>180975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561975" y="42957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</xdr:row>
      <xdr:rowOff>123825</xdr:rowOff>
    </xdr:from>
    <xdr:to>
      <xdr:col>17</xdr:col>
      <xdr:colOff>57150</xdr:colOff>
      <xdr:row>24</xdr:row>
      <xdr:rowOff>19050</xdr:rowOff>
    </xdr:to>
    <xdr:graphicFrame>
      <xdr:nvGraphicFramePr>
        <xdr:cNvPr id="1" name="Chart 27"/>
        <xdr:cNvGraphicFramePr/>
      </xdr:nvGraphicFramePr>
      <xdr:xfrm>
        <a:off x="4629150" y="609600"/>
        <a:ext cx="5886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123825</xdr:rowOff>
    </xdr:from>
    <xdr:to>
      <xdr:col>8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38175" y="2619375"/>
        <a:ext cx="5048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0.3925</cdr:x>
      <cdr:y>0.38825</cdr:y>
    </cdr:from>
    <cdr:to>
      <cdr:x>0.494</cdr:x>
      <cdr:y>0.49925</cdr:y>
    </cdr:to>
    <cdr:sp>
      <cdr:nvSpPr>
        <cdr:cNvPr id="1" name="Line 1"/>
        <cdr:cNvSpPr>
          <a:spLocks/>
        </cdr:cNvSpPr>
      </cdr:nvSpPr>
      <cdr:spPr>
        <a:xfrm>
          <a:off x="2581275" y="1400175"/>
          <a:ext cx="666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25</xdr:row>
      <xdr:rowOff>152400</xdr:rowOff>
    </xdr:from>
    <xdr:to>
      <xdr:col>9</xdr:col>
      <xdr:colOff>247650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542925" y="4724400"/>
        <a:ext cx="65817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15</xdr:row>
      <xdr:rowOff>47625</xdr:rowOff>
    </xdr:from>
    <xdr:to>
      <xdr:col>4</xdr:col>
      <xdr:colOff>1009650</xdr:colOff>
      <xdr:row>34</xdr:row>
      <xdr:rowOff>114300</xdr:rowOff>
    </xdr:to>
    <xdr:graphicFrame>
      <xdr:nvGraphicFramePr>
        <xdr:cNvPr id="1" name="Chart 2"/>
        <xdr:cNvGraphicFramePr/>
      </xdr:nvGraphicFramePr>
      <xdr:xfrm>
        <a:off x="542925" y="2819400"/>
        <a:ext cx="4362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32</xdr:row>
      <xdr:rowOff>47625</xdr:rowOff>
    </xdr:from>
    <xdr:to>
      <xdr:col>8</xdr:col>
      <xdr:colOff>142875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809625" y="5257800"/>
        <a:ext cx="5019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%20380\BA380\Interactive%20Models\Time%20Series%20_%20Interac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ng Average"/>
      <sheetName val="Exponential"/>
      <sheetName val="Linear Model"/>
      <sheetName val="TrendAdjusted"/>
    </sheetNames>
    <sheetDataSet>
      <sheetData sheetId="2">
        <row r="6">
          <cell r="AH6">
            <v>1</v>
          </cell>
          <cell r="AI6">
            <v>0</v>
          </cell>
        </row>
        <row r="8">
          <cell r="C8">
            <v>1</v>
          </cell>
          <cell r="D8">
            <v>220</v>
          </cell>
          <cell r="AX8">
            <v>0.1</v>
          </cell>
        </row>
        <row r="9">
          <cell r="C9">
            <v>2</v>
          </cell>
          <cell r="D9">
            <v>245</v>
          </cell>
          <cell r="AH9">
            <v>2</v>
          </cell>
          <cell r="AI9">
            <v>0</v>
          </cell>
          <cell r="AX9">
            <v>0.929686427116394</v>
          </cell>
        </row>
        <row r="10">
          <cell r="C10">
            <v>3</v>
          </cell>
          <cell r="D10">
            <v>280</v>
          </cell>
          <cell r="AX10">
            <v>0.9</v>
          </cell>
        </row>
        <row r="11">
          <cell r="C11">
            <v>4</v>
          </cell>
          <cell r="D11">
            <v>275</v>
          </cell>
          <cell r="AX11">
            <v>0.01</v>
          </cell>
        </row>
        <row r="12">
          <cell r="C12">
            <v>5</v>
          </cell>
          <cell r="D12">
            <v>300</v>
          </cell>
          <cell r="AX12">
            <v>10313</v>
          </cell>
        </row>
        <row r="13">
          <cell r="C13">
            <v>6</v>
          </cell>
          <cell r="D13">
            <v>310</v>
          </cell>
          <cell r="AH13">
            <v>1</v>
          </cell>
          <cell r="AI13">
            <v>0</v>
          </cell>
        </row>
        <row r="14">
          <cell r="C14">
            <v>7</v>
          </cell>
          <cell r="D14">
            <v>350</v>
          </cell>
          <cell r="AX14">
            <v>205907.2033938849</v>
          </cell>
        </row>
        <row r="15">
          <cell r="C15">
            <v>8</v>
          </cell>
          <cell r="D15">
            <v>360</v>
          </cell>
          <cell r="AX15">
            <v>187374.7966061151</v>
          </cell>
        </row>
        <row r="16">
          <cell r="C16">
            <v>9</v>
          </cell>
          <cell r="D16">
            <v>350</v>
          </cell>
        </row>
        <row r="17">
          <cell r="C17">
            <v>10</v>
          </cell>
          <cell r="D17">
            <v>380</v>
          </cell>
        </row>
        <row r="18">
          <cell r="C18">
            <v>11</v>
          </cell>
          <cell r="D18">
            <v>420</v>
          </cell>
        </row>
        <row r="19">
          <cell r="C19">
            <v>12</v>
          </cell>
          <cell r="D19">
            <v>450</v>
          </cell>
          <cell r="AH19">
            <v>205.2156862745098</v>
          </cell>
          <cell r="AI19">
            <v>0</v>
          </cell>
        </row>
        <row r="20">
          <cell r="C20">
            <v>13</v>
          </cell>
          <cell r="D20">
            <v>460</v>
          </cell>
        </row>
        <row r="21">
          <cell r="C21">
            <v>14</v>
          </cell>
          <cell r="D21">
            <v>475</v>
          </cell>
          <cell r="AH21">
            <v>19.04747162022704</v>
          </cell>
          <cell r="AI21">
            <v>0</v>
          </cell>
        </row>
        <row r="22">
          <cell r="C22">
            <v>15</v>
          </cell>
          <cell r="D22">
            <v>500</v>
          </cell>
        </row>
        <row r="23">
          <cell r="C23">
            <v>16</v>
          </cell>
          <cell r="D23">
            <v>510</v>
          </cell>
          <cell r="AH23">
            <v>0.994200036275562</v>
          </cell>
          <cell r="BC23">
            <v>205.2156862745098</v>
          </cell>
        </row>
        <row r="24">
          <cell r="C24">
            <v>17</v>
          </cell>
          <cell r="D24">
            <v>525</v>
          </cell>
          <cell r="BC24">
            <v>19.04747162022704</v>
          </cell>
        </row>
        <row r="25">
          <cell r="C25">
            <v>18</v>
          </cell>
          <cell r="D25">
            <v>541</v>
          </cell>
          <cell r="AH25">
            <v>0.9884337121303287</v>
          </cell>
          <cell r="BC25">
            <v>9228.5</v>
          </cell>
        </row>
        <row r="26">
          <cell r="BC26">
            <v>484.5</v>
          </cell>
        </row>
        <row r="27">
          <cell r="AH27">
            <v>19.04747162022704</v>
          </cell>
          <cell r="BC27">
            <v>177836.5</v>
          </cell>
        </row>
        <row r="30">
          <cell r="AH30">
            <v>0.9884337121303287</v>
          </cell>
        </row>
        <row r="34">
          <cell r="AH34" t="str">
            <v>0.0000</v>
          </cell>
          <cell r="BB34">
            <v>1</v>
          </cell>
          <cell r="BC34">
            <v>220</v>
          </cell>
          <cell r="BD34">
            <v>1</v>
          </cell>
          <cell r="BE34">
            <v>48400</v>
          </cell>
          <cell r="BF34">
            <v>220</v>
          </cell>
          <cell r="BG34">
            <v>386.1666666666667</v>
          </cell>
        </row>
        <row r="35">
          <cell r="BB35">
            <v>2</v>
          </cell>
          <cell r="BC35">
            <v>245</v>
          </cell>
          <cell r="BD35">
            <v>4</v>
          </cell>
          <cell r="BE35">
            <v>60025</v>
          </cell>
          <cell r="BF35">
            <v>490</v>
          </cell>
          <cell r="BG35">
            <v>386.1666666666667</v>
          </cell>
          <cell r="BL35" t="str">
            <v>SUMMARY OUTPUT</v>
          </cell>
        </row>
        <row r="36">
          <cell r="AH36">
            <v>1</v>
          </cell>
          <cell r="BB36">
            <v>3</v>
          </cell>
          <cell r="BC36">
            <v>280</v>
          </cell>
          <cell r="BD36">
            <v>9</v>
          </cell>
          <cell r="BE36">
            <v>78400</v>
          </cell>
          <cell r="BF36">
            <v>840</v>
          </cell>
          <cell r="BG36">
            <v>386.1666666666667</v>
          </cell>
        </row>
        <row r="37">
          <cell r="BB37">
            <v>4</v>
          </cell>
          <cell r="BC37">
            <v>275</v>
          </cell>
          <cell r="BD37">
            <v>16</v>
          </cell>
          <cell r="BE37">
            <v>75625</v>
          </cell>
          <cell r="BF37">
            <v>1100</v>
          </cell>
          <cell r="BG37">
            <v>386.1666666666667</v>
          </cell>
          <cell r="BL37" t="str">
            <v>Regression Statistics</v>
          </cell>
        </row>
        <row r="38">
          <cell r="AH38">
            <v>1367.330605315023</v>
          </cell>
          <cell r="BB38">
            <v>5</v>
          </cell>
          <cell r="BC38">
            <v>300</v>
          </cell>
          <cell r="BD38">
            <v>25</v>
          </cell>
          <cell r="BE38">
            <v>90000</v>
          </cell>
          <cell r="BF38">
            <v>1500</v>
          </cell>
          <cell r="BG38">
            <v>386.1666666666667</v>
          </cell>
          <cell r="BL38" t="str">
            <v>Multiple R</v>
          </cell>
          <cell r="BM38">
            <v>0.994200036275562</v>
          </cell>
        </row>
        <row r="39">
          <cell r="BB39">
            <v>6</v>
          </cell>
          <cell r="BC39">
            <v>310</v>
          </cell>
          <cell r="BD39">
            <v>36</v>
          </cell>
          <cell r="BE39">
            <v>96100</v>
          </cell>
          <cell r="BF39">
            <v>1860</v>
          </cell>
          <cell r="BG39">
            <v>386.1666666666667</v>
          </cell>
          <cell r="BL39" t="str">
            <v>R Square</v>
          </cell>
          <cell r="BM39">
            <v>0.9884337121303287</v>
          </cell>
        </row>
        <row r="40">
          <cell r="AH40">
            <v>3.048114649573108</v>
          </cell>
          <cell r="BB40">
            <v>7</v>
          </cell>
          <cell r="BC40">
            <v>350</v>
          </cell>
          <cell r="BD40">
            <v>49</v>
          </cell>
          <cell r="BE40">
            <v>122500</v>
          </cell>
          <cell r="BF40">
            <v>2450</v>
          </cell>
          <cell r="BG40">
            <v>386.1666666666667</v>
          </cell>
          <cell r="BL40" t="str">
            <v>Standard Error</v>
          </cell>
          <cell r="BM40">
            <v>11.338287328601412</v>
          </cell>
        </row>
        <row r="41">
          <cell r="BB41">
            <v>8</v>
          </cell>
          <cell r="BC41">
            <v>360</v>
          </cell>
          <cell r="BD41">
            <v>64</v>
          </cell>
          <cell r="BE41">
            <v>129600</v>
          </cell>
          <cell r="BF41">
            <v>2880</v>
          </cell>
          <cell r="BG41">
            <v>386.1666666666667</v>
          </cell>
          <cell r="BL41" t="str">
            <v>Observations</v>
          </cell>
          <cell r="BM41">
            <v>18</v>
          </cell>
        </row>
        <row r="42">
          <cell r="AH42">
            <v>196641</v>
          </cell>
          <cell r="BB42">
            <v>9</v>
          </cell>
          <cell r="BC42">
            <v>350</v>
          </cell>
          <cell r="BD42">
            <v>81</v>
          </cell>
          <cell r="BE42">
            <v>122500</v>
          </cell>
          <cell r="BF42">
            <v>3150</v>
          </cell>
          <cell r="BG42">
            <v>386.1666666666667</v>
          </cell>
        </row>
        <row r="43">
          <cell r="BB43">
            <v>10</v>
          </cell>
          <cell r="BC43">
            <v>380</v>
          </cell>
          <cell r="BD43">
            <v>100</v>
          </cell>
          <cell r="BE43">
            <v>144400</v>
          </cell>
          <cell r="BF43">
            <v>3800</v>
          </cell>
          <cell r="BG43">
            <v>386.1666666666667</v>
          </cell>
        </row>
        <row r="44">
          <cell r="BB44">
            <v>11</v>
          </cell>
          <cell r="BC44">
            <v>420</v>
          </cell>
          <cell r="BD44">
            <v>121</v>
          </cell>
          <cell r="BE44">
            <v>176400</v>
          </cell>
          <cell r="BF44">
            <v>4620</v>
          </cell>
          <cell r="BG44">
            <v>386.1666666666667</v>
          </cell>
          <cell r="BL44" t="str">
            <v>ANOVA</v>
          </cell>
        </row>
        <row r="45">
          <cell r="AH45">
            <v>187374.7966061151</v>
          </cell>
          <cell r="BB45">
            <v>12</v>
          </cell>
          <cell r="BC45">
            <v>450</v>
          </cell>
          <cell r="BD45">
            <v>144</v>
          </cell>
          <cell r="BE45">
            <v>202500</v>
          </cell>
          <cell r="BF45">
            <v>5400</v>
          </cell>
          <cell r="BG45">
            <v>386.1666666666667</v>
          </cell>
          <cell r="BL45" t="str">
            <v>Source of Variation</v>
          </cell>
          <cell r="BM45" t="str">
            <v>Sum Of Squares</v>
          </cell>
          <cell r="BN45" t="str">
            <v>df</v>
          </cell>
          <cell r="BO45" t="str">
            <v>MS</v>
          </cell>
          <cell r="BP45" t="str">
            <v>F</v>
          </cell>
          <cell r="BQ45" t="str">
            <v>significance f</v>
          </cell>
          <cell r="BR45" t="str">
            <v>critical_f</v>
          </cell>
        </row>
        <row r="46">
          <cell r="BB46">
            <v>13</v>
          </cell>
          <cell r="BC46">
            <v>460</v>
          </cell>
          <cell r="BD46">
            <v>169</v>
          </cell>
          <cell r="BE46">
            <v>211600</v>
          </cell>
          <cell r="BF46">
            <v>5980</v>
          </cell>
          <cell r="BG46">
            <v>386.1666666666667</v>
          </cell>
          <cell r="BL46" t="str">
            <v>Regression</v>
          </cell>
          <cell r="BM46">
            <v>175779.59184726523</v>
          </cell>
          <cell r="BN46">
            <v>1</v>
          </cell>
          <cell r="BO46">
            <v>175779.59184726523</v>
          </cell>
          <cell r="BP46">
            <v>1367.330605315023</v>
          </cell>
          <cell r="BQ46" t="str">
            <v>0.0000</v>
          </cell>
          <cell r="BR46">
            <v>3.048114649573108</v>
          </cell>
        </row>
        <row r="47">
          <cell r="BB47">
            <v>14</v>
          </cell>
          <cell r="BC47">
            <v>475</v>
          </cell>
          <cell r="BD47">
            <v>196</v>
          </cell>
          <cell r="BE47">
            <v>225625</v>
          </cell>
          <cell r="BF47">
            <v>6650</v>
          </cell>
          <cell r="BG47">
            <v>386.1666666666667</v>
          </cell>
          <cell r="BL47" t="str">
            <v>Error</v>
          </cell>
          <cell r="BM47">
            <v>2056.9081527347735</v>
          </cell>
          <cell r="BN47">
            <v>16</v>
          </cell>
          <cell r="BO47">
            <v>128.55675954592334</v>
          </cell>
        </row>
        <row r="48">
          <cell r="BB48">
            <v>15</v>
          </cell>
          <cell r="BC48">
            <v>500</v>
          </cell>
          <cell r="BD48">
            <v>225</v>
          </cell>
          <cell r="BE48">
            <v>250000</v>
          </cell>
          <cell r="BF48">
            <v>7500</v>
          </cell>
          <cell r="BG48">
            <v>386.1666666666667</v>
          </cell>
          <cell r="BL48" t="str">
            <v>Total</v>
          </cell>
          <cell r="BM48">
            <v>177836.5</v>
          </cell>
          <cell r="BN48">
            <v>17</v>
          </cell>
        </row>
        <row r="49">
          <cell r="BB49">
            <v>16</v>
          </cell>
          <cell r="BC49">
            <v>510</v>
          </cell>
          <cell r="BD49">
            <v>256</v>
          </cell>
          <cell r="BE49">
            <v>260100</v>
          </cell>
          <cell r="BF49">
            <v>8160</v>
          </cell>
          <cell r="BG49">
            <v>386.1666666666667</v>
          </cell>
        </row>
        <row r="50">
          <cell r="AH50">
            <v>205907.2033938849</v>
          </cell>
          <cell r="BB50">
            <v>17</v>
          </cell>
          <cell r="BC50">
            <v>525</v>
          </cell>
          <cell r="BD50">
            <v>289</v>
          </cell>
          <cell r="BE50">
            <v>275625</v>
          </cell>
          <cell r="BF50">
            <v>8925</v>
          </cell>
          <cell r="BG50">
            <v>386.1666666666667</v>
          </cell>
          <cell r="BM50" t="str">
            <v>Coefficients</v>
          </cell>
          <cell r="BN50" t="str">
            <v>Standard Error</v>
          </cell>
          <cell r="BO50" t="str">
            <v>t Stat</v>
          </cell>
          <cell r="BP50" t="str">
            <v>P-value</v>
          </cell>
          <cell r="BQ50" t="str">
            <v>Lower Limit</v>
          </cell>
          <cell r="BR50" t="str">
            <v>Upper Limit</v>
          </cell>
        </row>
        <row r="51">
          <cell r="BB51">
            <v>18</v>
          </cell>
          <cell r="BC51">
            <v>541</v>
          </cell>
          <cell r="BD51">
            <v>324</v>
          </cell>
          <cell r="BE51">
            <v>292681</v>
          </cell>
          <cell r="BF51">
            <v>9738</v>
          </cell>
          <cell r="BG51">
            <v>386.1666666666667</v>
          </cell>
          <cell r="BL51" t="str">
            <v>Intercept</v>
          </cell>
          <cell r="BM51">
            <v>205.2156862745098</v>
          </cell>
          <cell r="BN51">
            <v>5.575741167180668</v>
          </cell>
          <cell r="BO51">
            <v>36.80509552387913</v>
          </cell>
          <cell r="BP51">
            <v>6.807689199794356E-17</v>
          </cell>
          <cell r="BQ51">
            <v>195.48108775917342</v>
          </cell>
          <cell r="BR51">
            <v>214.9502847898462</v>
          </cell>
        </row>
        <row r="52"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L52" t="str">
            <v>Advertising Exp</v>
          </cell>
          <cell r="BM52">
            <v>19.04747162022704</v>
          </cell>
          <cell r="BN52">
            <v>0.5151106958611458</v>
          </cell>
          <cell r="BO52">
            <v>36.97743373079077</v>
          </cell>
          <cell r="BP52">
            <v>6.32258811353491E-17</v>
          </cell>
          <cell r="BQ52">
            <v>18.148147985069976</v>
          </cell>
          <cell r="BR52">
            <v>19.946795255384103</v>
          </cell>
        </row>
        <row r="53"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</row>
        <row r="54">
          <cell r="AH54">
            <v>18.148147985069976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</row>
        <row r="55"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L55" t="str">
            <v>90% Prediction Interval Estimate</v>
          </cell>
        </row>
        <row r="56"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L56" t="str">
            <v>   Upper Limit</v>
          </cell>
          <cell r="BM56">
            <v>205907.2033938849</v>
          </cell>
        </row>
        <row r="57">
          <cell r="AH57">
            <v>19.946795255384103</v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L57" t="str">
            <v>   Lower Limit</v>
          </cell>
          <cell r="BM57">
            <v>187374.7966061151</v>
          </cell>
        </row>
        <row r="58"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</row>
        <row r="59"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</row>
        <row r="60"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</row>
        <row r="61">
          <cell r="AH61">
            <v>205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</row>
        <row r="62"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</row>
        <row r="63"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</row>
        <row r="64"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</row>
        <row r="65"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</row>
        <row r="66"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</row>
        <row r="67"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</row>
        <row r="68"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</row>
        <row r="69"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</row>
        <row r="70"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</row>
        <row r="71"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</row>
        <row r="72"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</row>
        <row r="73"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</row>
        <row r="74"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</row>
        <row r="75"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</row>
        <row r="76"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</row>
      </sheetData>
      <sheetData sheetId="3">
        <row r="8">
          <cell r="B8">
            <v>1</v>
          </cell>
          <cell r="C8">
            <v>210</v>
          </cell>
          <cell r="D8" t="str">
            <v/>
          </cell>
        </row>
        <row r="9">
          <cell r="B9">
            <v>2</v>
          </cell>
          <cell r="C9">
            <v>224</v>
          </cell>
          <cell r="D9" t="str">
            <v/>
          </cell>
        </row>
        <row r="10">
          <cell r="B10">
            <v>3</v>
          </cell>
          <cell r="C10">
            <v>229</v>
          </cell>
          <cell r="D10" t="str">
            <v/>
          </cell>
        </row>
        <row r="11">
          <cell r="B11">
            <v>4</v>
          </cell>
          <cell r="C11">
            <v>240</v>
          </cell>
          <cell r="D11" t="str">
            <v/>
          </cell>
        </row>
        <row r="12">
          <cell r="B12">
            <v>5</v>
          </cell>
          <cell r="C12">
            <v>255</v>
          </cell>
          <cell r="D12">
            <v>250</v>
          </cell>
        </row>
        <row r="13">
          <cell r="B13">
            <v>6</v>
          </cell>
          <cell r="C13">
            <v>265</v>
          </cell>
          <cell r="D13">
            <v>260.9</v>
          </cell>
        </row>
        <row r="14">
          <cell r="B14">
            <v>7</v>
          </cell>
          <cell r="C14">
            <v>272</v>
          </cell>
          <cell r="D14">
            <v>271.962</v>
          </cell>
        </row>
        <row r="15">
          <cell r="B15">
            <v>8</v>
          </cell>
          <cell r="C15">
            <v>285</v>
          </cell>
          <cell r="D15">
            <v>282.55852</v>
          </cell>
        </row>
        <row r="16">
          <cell r="B16">
            <v>9</v>
          </cell>
          <cell r="C16">
            <v>294</v>
          </cell>
          <cell r="D16">
            <v>293.5901288</v>
          </cell>
        </row>
        <row r="17">
          <cell r="B17">
            <v>10</v>
          </cell>
          <cell r="C17">
            <v>210</v>
          </cell>
          <cell r="D17">
            <v>304.41425592</v>
          </cell>
        </row>
        <row r="18">
          <cell r="B18">
            <v>11</v>
          </cell>
          <cell r="C18">
            <v>224</v>
          </cell>
          <cell r="D18">
            <v>298.19659981216</v>
          </cell>
        </row>
        <row r="19">
          <cell r="B19">
            <v>12</v>
          </cell>
          <cell r="C19">
            <v>229</v>
          </cell>
          <cell r="D19">
            <v>289.5000780201152</v>
          </cell>
        </row>
        <row r="20">
          <cell r="B20">
            <v>13</v>
          </cell>
          <cell r="C20">
            <v>240</v>
          </cell>
          <cell r="D20">
            <v>278.46099048281053</v>
          </cell>
        </row>
        <row r="21">
          <cell r="B21">
            <v>14</v>
          </cell>
          <cell r="C21">
            <v>255</v>
          </cell>
          <cell r="D21">
            <v>267.4685336465172</v>
          </cell>
        </row>
        <row r="22">
          <cell r="B22">
            <v>15</v>
          </cell>
          <cell r="C22">
            <v>265</v>
          </cell>
          <cell r="D22">
            <v>258.66244685747057</v>
          </cell>
        </row>
        <row r="23">
          <cell r="B23">
            <v>16</v>
          </cell>
          <cell r="C23">
            <v>272</v>
          </cell>
          <cell r="D23">
            <v>252.433494710158</v>
          </cell>
        </row>
        <row r="24">
          <cell r="B24">
            <v>17</v>
          </cell>
          <cell r="C24">
            <v>285</v>
          </cell>
          <cell r="D24">
            <v>248.9964273929976</v>
          </cell>
        </row>
        <row r="25">
          <cell r="B25">
            <v>18</v>
          </cell>
          <cell r="C25">
            <v>294</v>
          </cell>
          <cell r="D25">
            <v>249.7859417357078</v>
          </cell>
        </row>
        <row r="26">
          <cell r="B26">
            <v>19</v>
          </cell>
          <cell r="C26">
            <v>210</v>
          </cell>
          <cell r="D26">
            <v>254.38637500166396</v>
          </cell>
        </row>
        <row r="27">
          <cell r="B27">
            <v>20</v>
          </cell>
          <cell r="C27">
            <v>224</v>
          </cell>
          <cell r="D27">
            <v>245.90380125527412</v>
          </cell>
        </row>
        <row r="28">
          <cell r="B28">
            <v>21</v>
          </cell>
          <cell r="C28">
            <v>210</v>
          </cell>
          <cell r="D28">
            <v>238.59185368312663</v>
          </cell>
        </row>
        <row r="29">
          <cell r="B29">
            <v>22</v>
          </cell>
          <cell r="C29">
            <v>224</v>
          </cell>
          <cell r="D29">
            <v>228.65669035262394</v>
          </cell>
        </row>
        <row r="30">
          <cell r="B30">
            <v>23</v>
          </cell>
          <cell r="C30">
            <v>229</v>
          </cell>
          <cell r="D30">
            <v>221.1771043029451</v>
          </cell>
        </row>
        <row r="31">
          <cell r="B31">
            <v>24</v>
          </cell>
          <cell r="C31">
            <v>240</v>
          </cell>
          <cell r="D31">
            <v>215.64209020735845</v>
          </cell>
        </row>
        <row r="32">
          <cell r="B32">
            <v>25</v>
          </cell>
          <cell r="C32">
            <v>255</v>
          </cell>
          <cell r="D32">
            <v>213.59030229014655</v>
          </cell>
        </row>
        <row r="33">
          <cell r="B33">
            <v>26</v>
          </cell>
          <cell r="C33">
            <v>265</v>
          </cell>
          <cell r="D33">
            <v>216.18622875259598</v>
          </cell>
        </row>
        <row r="34">
          <cell r="B34">
            <v>27</v>
          </cell>
          <cell r="C34">
            <v>272</v>
          </cell>
          <cell r="D34">
            <v>222.79823686340302</v>
          </cell>
        </row>
        <row r="35">
          <cell r="B35">
            <v>28</v>
          </cell>
          <cell r="C35">
            <v>285</v>
          </cell>
          <cell r="D35">
            <v>232.64321589109656</v>
          </cell>
        </row>
        <row r="36">
          <cell r="B36">
            <v>29</v>
          </cell>
          <cell r="C36">
            <v>294</v>
          </cell>
          <cell r="D36">
            <v>246.24437294505674</v>
          </cell>
        </row>
        <row r="55">
          <cell r="D55">
            <v>18</v>
          </cell>
        </row>
        <row r="56">
          <cell r="D56">
            <v>36</v>
          </cell>
        </row>
        <row r="57">
          <cell r="D5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51" customWidth="1"/>
    <col min="2" max="2" width="6.7109375" style="51" customWidth="1"/>
    <col min="3" max="16384" width="9.140625" style="51" customWidth="1"/>
  </cols>
  <sheetData>
    <row r="1" s="48" customFormat="1" ht="12.75"/>
    <row r="2" spans="1:2" s="49" customFormat="1" ht="12.75">
      <c r="A2" s="48"/>
      <c r="B2" s="19" t="s">
        <v>138</v>
      </c>
    </row>
    <row r="3" spans="1:2" s="49" customFormat="1" ht="12.75">
      <c r="A3" s="48"/>
      <c r="B3" s="19"/>
    </row>
    <row r="4" spans="1:6" ht="27.75" customHeight="1" thickBot="1">
      <c r="A4" s="49"/>
      <c r="B4" s="49"/>
      <c r="C4" s="49"/>
      <c r="D4" s="131" t="s">
        <v>4</v>
      </c>
      <c r="E4" s="131"/>
      <c r="F4" s="50"/>
    </row>
    <row r="5" spans="2:6" ht="13.5" thickBot="1">
      <c r="B5" s="57" t="s">
        <v>0</v>
      </c>
      <c r="C5" s="57" t="s">
        <v>1</v>
      </c>
      <c r="D5" s="57" t="s">
        <v>2</v>
      </c>
      <c r="E5" s="57" t="s">
        <v>3</v>
      </c>
      <c r="F5" s="52"/>
    </row>
    <row r="6" spans="2:6" ht="12.75">
      <c r="B6" s="53">
        <v>1</v>
      </c>
      <c r="C6" s="54">
        <v>800</v>
      </c>
      <c r="D6" s="53"/>
      <c r="E6" s="53"/>
      <c r="F6" s="53"/>
    </row>
    <row r="7" spans="2:6" ht="12.75">
      <c r="B7" s="53">
        <v>2</v>
      </c>
      <c r="C7" s="54">
        <v>1400</v>
      </c>
      <c r="D7" s="53"/>
      <c r="E7" s="53"/>
      <c r="F7" s="53"/>
    </row>
    <row r="8" spans="2:6" ht="12.75">
      <c r="B8" s="53">
        <v>3</v>
      </c>
      <c r="C8" s="54">
        <v>1000</v>
      </c>
      <c r="D8" s="53"/>
      <c r="E8" s="53"/>
      <c r="F8" s="53"/>
    </row>
    <row r="9" spans="2:6" ht="12.75">
      <c r="B9" s="53">
        <v>4</v>
      </c>
      <c r="C9" s="54">
        <v>1500</v>
      </c>
      <c r="D9" s="54">
        <f>AVERAGE(C6:C8)</f>
        <v>1066.6666666666667</v>
      </c>
      <c r="E9" s="54"/>
      <c r="F9" s="54"/>
    </row>
    <row r="10" spans="2:6" ht="12.75">
      <c r="B10" s="53">
        <v>5</v>
      </c>
      <c r="C10" s="54">
        <v>1500</v>
      </c>
      <c r="D10" s="54">
        <f aca="true" t="shared" si="0" ref="D10:D20">AVERAGE(C7:C9)</f>
        <v>1300</v>
      </c>
      <c r="E10" s="54"/>
      <c r="F10" s="54"/>
    </row>
    <row r="11" spans="2:6" ht="12.75">
      <c r="B11" s="53">
        <v>6</v>
      </c>
      <c r="C11" s="54">
        <v>1300</v>
      </c>
      <c r="D11" s="54">
        <f t="shared" si="0"/>
        <v>1333.3333333333333</v>
      </c>
      <c r="E11" s="54"/>
      <c r="F11" s="54"/>
    </row>
    <row r="12" spans="2:6" ht="12.75">
      <c r="B12" s="53">
        <v>7</v>
      </c>
      <c r="C12" s="54">
        <v>1800</v>
      </c>
      <c r="D12" s="54">
        <f t="shared" si="0"/>
        <v>1433.3333333333333</v>
      </c>
      <c r="E12" s="54"/>
      <c r="F12" s="54"/>
    </row>
    <row r="13" spans="2:6" ht="12.75">
      <c r="B13" s="53">
        <v>8</v>
      </c>
      <c r="C13" s="54">
        <v>1700</v>
      </c>
      <c r="D13" s="54">
        <f t="shared" si="0"/>
        <v>1533.3333333333333</v>
      </c>
      <c r="E13" s="54"/>
      <c r="F13" s="54"/>
    </row>
    <row r="14" spans="2:6" ht="12.75">
      <c r="B14" s="53">
        <v>9</v>
      </c>
      <c r="C14" s="54">
        <v>1300</v>
      </c>
      <c r="D14" s="54">
        <f t="shared" si="0"/>
        <v>1600</v>
      </c>
      <c r="E14" s="54"/>
      <c r="F14" s="54"/>
    </row>
    <row r="15" spans="2:6" ht="12.75">
      <c r="B15" s="53">
        <v>10</v>
      </c>
      <c r="C15" s="54">
        <v>1700</v>
      </c>
      <c r="D15" s="54">
        <f t="shared" si="0"/>
        <v>1600</v>
      </c>
      <c r="E15" s="54">
        <f aca="true" t="shared" si="1" ref="E15:E20">AVERAGE(C6:C14)</f>
        <v>1366.6666666666667</v>
      </c>
      <c r="F15" s="54"/>
    </row>
    <row r="16" spans="2:6" ht="12.75">
      <c r="B16" s="53">
        <v>11</v>
      </c>
      <c r="C16" s="54">
        <v>1700</v>
      </c>
      <c r="D16" s="54">
        <f t="shared" si="0"/>
        <v>1566.6666666666667</v>
      </c>
      <c r="E16" s="54">
        <f t="shared" si="1"/>
        <v>1466.6666666666667</v>
      </c>
      <c r="F16" s="54"/>
    </row>
    <row r="17" spans="2:6" ht="12.75">
      <c r="B17" s="53">
        <v>12</v>
      </c>
      <c r="C17" s="54">
        <v>1500</v>
      </c>
      <c r="D17" s="54">
        <f t="shared" si="0"/>
        <v>1566.6666666666667</v>
      </c>
      <c r="E17" s="54">
        <f t="shared" si="1"/>
        <v>1500</v>
      </c>
      <c r="F17" s="54"/>
    </row>
    <row r="18" spans="2:6" ht="12.75">
      <c r="B18" s="53">
        <v>13</v>
      </c>
      <c r="C18" s="54">
        <v>2300</v>
      </c>
      <c r="D18" s="54">
        <f t="shared" si="0"/>
        <v>1633.3333333333333</v>
      </c>
      <c r="E18" s="54">
        <f t="shared" si="1"/>
        <v>1555.5555555555557</v>
      </c>
      <c r="F18" s="54"/>
    </row>
    <row r="19" spans="2:6" ht="12.75">
      <c r="B19" s="53">
        <v>14</v>
      </c>
      <c r="C19" s="54">
        <v>2300</v>
      </c>
      <c r="D19" s="54">
        <f t="shared" si="0"/>
        <v>1833.3333333333333</v>
      </c>
      <c r="E19" s="54">
        <f t="shared" si="1"/>
        <v>1644.4444444444443</v>
      </c>
      <c r="F19" s="54"/>
    </row>
    <row r="20" spans="2:6" ht="12.75">
      <c r="B20" s="55">
        <v>15</v>
      </c>
      <c r="C20" s="56">
        <v>2000</v>
      </c>
      <c r="D20" s="56">
        <f t="shared" si="0"/>
        <v>2033.3333333333333</v>
      </c>
      <c r="E20" s="56">
        <f t="shared" si="1"/>
        <v>1733.3333333333333</v>
      </c>
      <c r="F20" s="56"/>
    </row>
    <row r="21" spans="2:6" ht="12.75">
      <c r="B21" s="53">
        <v>16</v>
      </c>
      <c r="C21" s="54">
        <v>1700</v>
      </c>
      <c r="D21" s="56">
        <f aca="true" t="shared" si="2" ref="D21:D35">AVERAGE(C18:C20)</f>
        <v>2200</v>
      </c>
      <c r="E21" s="56">
        <f aca="true" t="shared" si="3" ref="E21:E35">AVERAGE(C12:C20)</f>
        <v>1811.111111111111</v>
      </c>
      <c r="F21" s="56"/>
    </row>
    <row r="22" spans="2:6" ht="12.75">
      <c r="B22" s="53">
        <v>17</v>
      </c>
      <c r="C22" s="54">
        <v>1800</v>
      </c>
      <c r="D22" s="56">
        <f t="shared" si="2"/>
        <v>2000</v>
      </c>
      <c r="E22" s="56">
        <f t="shared" si="3"/>
        <v>1800</v>
      </c>
      <c r="F22" s="56"/>
    </row>
    <row r="23" spans="2:6" ht="12.75">
      <c r="B23" s="53">
        <v>18</v>
      </c>
      <c r="C23" s="54">
        <v>2200</v>
      </c>
      <c r="D23" s="56">
        <f t="shared" si="2"/>
        <v>1833.3333333333333</v>
      </c>
      <c r="E23" s="56">
        <f t="shared" si="3"/>
        <v>1811.111111111111</v>
      </c>
      <c r="F23" s="56"/>
    </row>
    <row r="24" spans="2:6" ht="12.75">
      <c r="B24" s="53">
        <v>19</v>
      </c>
      <c r="C24" s="54">
        <v>1900</v>
      </c>
      <c r="D24" s="56">
        <f t="shared" si="2"/>
        <v>1900</v>
      </c>
      <c r="E24" s="56">
        <f t="shared" si="3"/>
        <v>1911.111111111111</v>
      </c>
      <c r="F24" s="56"/>
    </row>
    <row r="25" spans="2:6" ht="12.75">
      <c r="B25" s="53">
        <v>20</v>
      </c>
      <c r="C25" s="54">
        <v>2400</v>
      </c>
      <c r="D25" s="56">
        <f t="shared" si="2"/>
        <v>1966.6666666666667</v>
      </c>
      <c r="E25" s="56">
        <f t="shared" si="3"/>
        <v>1933.3333333333333</v>
      </c>
      <c r="F25" s="56"/>
    </row>
    <row r="26" spans="2:6" ht="12.75">
      <c r="B26" s="53">
        <v>21</v>
      </c>
      <c r="C26" s="54">
        <v>2400</v>
      </c>
      <c r="D26" s="56">
        <f t="shared" si="2"/>
        <v>2166.6666666666665</v>
      </c>
      <c r="E26" s="56">
        <f t="shared" si="3"/>
        <v>2011.111111111111</v>
      </c>
      <c r="F26" s="56"/>
    </row>
    <row r="27" spans="2:6" ht="12.75">
      <c r="B27" s="53">
        <v>22</v>
      </c>
      <c r="C27" s="54">
        <v>2600</v>
      </c>
      <c r="D27" s="56">
        <f t="shared" si="2"/>
        <v>2233.3333333333335</v>
      </c>
      <c r="E27" s="56">
        <f t="shared" si="3"/>
        <v>2111.1111111111113</v>
      </c>
      <c r="F27" s="56"/>
    </row>
    <row r="28" spans="2:6" ht="12.75">
      <c r="B28" s="53">
        <v>23</v>
      </c>
      <c r="C28" s="54">
        <v>2000</v>
      </c>
      <c r="D28" s="56">
        <f t="shared" si="2"/>
        <v>2466.6666666666665</v>
      </c>
      <c r="E28" s="56">
        <f t="shared" si="3"/>
        <v>2144.4444444444443</v>
      </c>
      <c r="F28" s="56"/>
    </row>
    <row r="29" spans="2:6" ht="12.75">
      <c r="B29" s="53">
        <v>24</v>
      </c>
      <c r="C29" s="54">
        <v>2500</v>
      </c>
      <c r="D29" s="56">
        <f t="shared" si="2"/>
        <v>2333.3333333333335</v>
      </c>
      <c r="E29" s="56">
        <f t="shared" si="3"/>
        <v>2111.1111111111113</v>
      </c>
      <c r="F29" s="56"/>
    </row>
    <row r="30" spans="2:6" ht="12.75">
      <c r="B30" s="53">
        <v>25</v>
      </c>
      <c r="C30" s="54">
        <v>2600</v>
      </c>
      <c r="D30" s="56">
        <f t="shared" si="2"/>
        <v>2366.6666666666665</v>
      </c>
      <c r="E30" s="56">
        <f t="shared" si="3"/>
        <v>2166.6666666666665</v>
      </c>
      <c r="F30" s="56"/>
    </row>
    <row r="31" spans="2:6" ht="12.75">
      <c r="B31" s="53">
        <v>26</v>
      </c>
      <c r="C31" s="54">
        <v>2200</v>
      </c>
      <c r="D31" s="56">
        <f t="shared" si="2"/>
        <v>2366.6666666666665</v>
      </c>
      <c r="E31" s="56">
        <f t="shared" si="3"/>
        <v>2266.6666666666665</v>
      </c>
      <c r="F31" s="56"/>
    </row>
    <row r="32" spans="2:6" ht="12.75">
      <c r="B32" s="53">
        <v>27</v>
      </c>
      <c r="C32" s="54">
        <v>2200</v>
      </c>
      <c r="D32" s="56">
        <f t="shared" si="2"/>
        <v>2433.3333333333335</v>
      </c>
      <c r="E32" s="56">
        <f t="shared" si="3"/>
        <v>2311.1111111111113</v>
      </c>
      <c r="F32" s="56"/>
    </row>
    <row r="33" spans="2:6" ht="12.75">
      <c r="B33" s="53">
        <v>28</v>
      </c>
      <c r="C33" s="54">
        <v>2500</v>
      </c>
      <c r="D33" s="56">
        <f t="shared" si="2"/>
        <v>2333.3333333333335</v>
      </c>
      <c r="E33" s="56">
        <f t="shared" si="3"/>
        <v>2311.1111111111113</v>
      </c>
      <c r="F33" s="56"/>
    </row>
    <row r="34" spans="2:6" ht="12.75">
      <c r="B34" s="53">
        <v>29</v>
      </c>
      <c r="C34" s="54">
        <v>2400</v>
      </c>
      <c r="D34" s="56">
        <f t="shared" si="2"/>
        <v>2300</v>
      </c>
      <c r="E34" s="56">
        <f t="shared" si="3"/>
        <v>2377.777777777778</v>
      </c>
      <c r="F34" s="56"/>
    </row>
    <row r="35" spans="2:6" ht="13.5" thickBot="1">
      <c r="B35" s="58">
        <v>30</v>
      </c>
      <c r="C35" s="59">
        <v>2100</v>
      </c>
      <c r="D35" s="59">
        <f t="shared" si="2"/>
        <v>2366.6666666666665</v>
      </c>
      <c r="E35" s="59">
        <f t="shared" si="3"/>
        <v>2377.777777777778</v>
      </c>
      <c r="F35" s="56"/>
    </row>
  </sheetData>
  <mergeCells count="1">
    <mergeCell ref="D4:E4"/>
  </mergeCells>
  <printOptions horizontalCentered="1"/>
  <pageMargins left="1" right="1" top="1" bottom="1" header="0.5" footer="0.5"/>
  <pageSetup horizontalDpi="600" verticalDpi="600" orientation="landscape" r:id="rId2"/>
  <ignoredErrors>
    <ignoredError sqref="D15:D35 D9:D14 E15:E35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40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9.140625" style="0" bestFit="1" customWidth="1"/>
    <col min="3" max="5" width="12.00390625" style="0" bestFit="1" customWidth="1"/>
    <col min="6" max="6" width="10.00390625" style="0" bestFit="1" customWidth="1"/>
  </cols>
  <sheetData>
    <row r="2" ht="12.75">
      <c r="B2" s="19" t="s">
        <v>110</v>
      </c>
    </row>
    <row r="4" spans="2:6" ht="20.25" customHeight="1" thickBot="1">
      <c r="B4" s="74"/>
      <c r="C4" s="1" t="s">
        <v>111</v>
      </c>
      <c r="D4" s="1" t="s">
        <v>112</v>
      </c>
      <c r="E4" s="1" t="s">
        <v>113</v>
      </c>
      <c r="F4" s="1" t="s">
        <v>114</v>
      </c>
    </row>
    <row r="5" spans="2:6" ht="12.75">
      <c r="B5" t="s">
        <v>115</v>
      </c>
      <c r="C5" s="3">
        <v>2200</v>
      </c>
      <c r="D5" s="3">
        <v>2400</v>
      </c>
      <c r="E5" s="3">
        <v>2300</v>
      </c>
      <c r="F5" s="3">
        <v>2400</v>
      </c>
    </row>
    <row r="6" spans="2:6" ht="12.75">
      <c r="B6" t="s">
        <v>116</v>
      </c>
      <c r="C6" s="3">
        <v>2000</v>
      </c>
      <c r="D6" s="3">
        <v>2100</v>
      </c>
      <c r="E6" s="3">
        <v>2200</v>
      </c>
      <c r="F6" s="3">
        <v>2200</v>
      </c>
    </row>
    <row r="7" spans="2:6" ht="12.75">
      <c r="B7" t="s">
        <v>117</v>
      </c>
      <c r="C7" s="3">
        <v>2300</v>
      </c>
      <c r="D7" s="3">
        <v>2400</v>
      </c>
      <c r="E7" s="3">
        <v>2300</v>
      </c>
      <c r="F7" s="3">
        <v>2500</v>
      </c>
    </row>
    <row r="8" spans="2:6" ht="12.75">
      <c r="B8" t="s">
        <v>118</v>
      </c>
      <c r="C8" s="3">
        <v>1800</v>
      </c>
      <c r="D8" s="3">
        <v>1900</v>
      </c>
      <c r="E8" s="3">
        <v>1800</v>
      </c>
      <c r="F8" s="3">
        <v>2000</v>
      </c>
    </row>
    <row r="9" spans="2:6" ht="12.75">
      <c r="B9" t="s">
        <v>119</v>
      </c>
      <c r="C9" s="3">
        <v>1900</v>
      </c>
      <c r="D9" s="3">
        <v>1800</v>
      </c>
      <c r="E9" s="3">
        <v>2100</v>
      </c>
      <c r="F9" s="3">
        <v>2000</v>
      </c>
    </row>
    <row r="10" spans="2:6" ht="12.75">
      <c r="B10" t="s">
        <v>120</v>
      </c>
      <c r="C10" s="3"/>
      <c r="D10" s="3"/>
      <c r="E10" s="3"/>
      <c r="F10" s="3"/>
    </row>
    <row r="11" spans="2:6" ht="13.5" thickBot="1">
      <c r="B11" s="98" t="s">
        <v>121</v>
      </c>
      <c r="C11" s="1">
        <v>2800</v>
      </c>
      <c r="D11" s="1">
        <v>2700</v>
      </c>
      <c r="E11" s="1">
        <v>3000</v>
      </c>
      <c r="F11" s="1">
        <v>2900</v>
      </c>
    </row>
    <row r="14" ht="12.75">
      <c r="B14" s="93" t="s">
        <v>122</v>
      </c>
    </row>
    <row r="15" ht="12.75">
      <c r="B15" s="93"/>
    </row>
    <row r="16" ht="12.75">
      <c r="B16" s="93" t="s">
        <v>123</v>
      </c>
    </row>
    <row r="17" ht="12.75">
      <c r="H17" s="106" t="s">
        <v>124</v>
      </c>
    </row>
    <row r="18" ht="12.75">
      <c r="H18" s="106" t="s">
        <v>125</v>
      </c>
    </row>
    <row r="19" spans="2:8" s="107" customFormat="1" ht="13.5" thickBot="1">
      <c r="B19" s="74"/>
      <c r="C19" s="1" t="s">
        <v>111</v>
      </c>
      <c r="D19" s="1" t="s">
        <v>112</v>
      </c>
      <c r="E19" s="1" t="s">
        <v>113</v>
      </c>
      <c r="F19" s="1" t="s">
        <v>114</v>
      </c>
      <c r="G19" s="108"/>
      <c r="H19" s="109" t="s">
        <v>109</v>
      </c>
    </row>
    <row r="20" spans="2:8" ht="12.75">
      <c r="B20" t="s">
        <v>115</v>
      </c>
      <c r="C20" s="3">
        <v>2200</v>
      </c>
      <c r="D20" s="3">
        <v>2400</v>
      </c>
      <c r="E20" s="3">
        <v>2300</v>
      </c>
      <c r="F20" s="3">
        <v>2400</v>
      </c>
      <c r="H20" s="110">
        <f>AVERAGE(C20:F20)</f>
        <v>2325</v>
      </c>
    </row>
    <row r="21" spans="2:8" ht="12.75">
      <c r="B21" t="s">
        <v>116</v>
      </c>
      <c r="C21" s="3">
        <v>2000</v>
      </c>
      <c r="D21" s="3">
        <v>2100</v>
      </c>
      <c r="E21" s="3">
        <v>2200</v>
      </c>
      <c r="F21" s="3">
        <v>2200</v>
      </c>
      <c r="H21" s="110">
        <f>AVERAGE(C21:F21)</f>
        <v>2125</v>
      </c>
    </row>
    <row r="22" spans="2:8" ht="12.75">
      <c r="B22" t="s">
        <v>117</v>
      </c>
      <c r="C22" s="3">
        <v>2300</v>
      </c>
      <c r="D22" s="3">
        <v>2400</v>
      </c>
      <c r="E22" s="3">
        <v>2300</v>
      </c>
      <c r="F22" s="3">
        <v>2500</v>
      </c>
      <c r="H22" s="110">
        <f>AVERAGE(C22:F22)</f>
        <v>2375</v>
      </c>
    </row>
    <row r="23" spans="2:8" ht="12.75">
      <c r="B23" t="s">
        <v>118</v>
      </c>
      <c r="C23" s="3">
        <v>1800</v>
      </c>
      <c r="D23" s="3">
        <v>1900</v>
      </c>
      <c r="E23" s="3">
        <v>1800</v>
      </c>
      <c r="F23" s="3">
        <v>2000</v>
      </c>
      <c r="H23" s="110">
        <f>AVERAGE(C23:F23)</f>
        <v>1875</v>
      </c>
    </row>
    <row r="24" spans="2:8" ht="12.75">
      <c r="B24" t="s">
        <v>119</v>
      </c>
      <c r="C24" s="3">
        <v>1900</v>
      </c>
      <c r="D24" s="3">
        <v>1800</v>
      </c>
      <c r="E24" s="3">
        <v>2100</v>
      </c>
      <c r="F24" s="3">
        <v>2000</v>
      </c>
      <c r="H24" s="110">
        <f>AVERAGE(C24:F24)</f>
        <v>1950</v>
      </c>
    </row>
    <row r="25" spans="2:8" ht="12.75">
      <c r="B25" t="s">
        <v>120</v>
      </c>
      <c r="C25" s="3"/>
      <c r="D25" s="3"/>
      <c r="E25" s="3"/>
      <c r="F25" s="3"/>
      <c r="H25" s="110"/>
    </row>
    <row r="26" spans="2:8" ht="13.5" thickBot="1">
      <c r="B26" s="98" t="s">
        <v>121</v>
      </c>
      <c r="C26" s="1">
        <v>2800</v>
      </c>
      <c r="D26" s="1">
        <v>2700</v>
      </c>
      <c r="E26" s="1">
        <v>3000</v>
      </c>
      <c r="F26" s="1">
        <v>2900</v>
      </c>
      <c r="G26" s="74"/>
      <c r="H26" s="111">
        <f>AVERAGE(C26:F26)</f>
        <v>2850</v>
      </c>
    </row>
    <row r="29" ht="12.75">
      <c r="B29" s="93" t="s">
        <v>126</v>
      </c>
    </row>
    <row r="30" ht="12.75">
      <c r="H30" s="2" t="s">
        <v>127</v>
      </c>
    </row>
    <row r="31" spans="2:8" ht="13.5" thickBot="1">
      <c r="B31" s="102" t="s">
        <v>100</v>
      </c>
      <c r="C31" s="134" t="s">
        <v>128</v>
      </c>
      <c r="D31" s="134"/>
      <c r="E31" s="134"/>
      <c r="F31" s="134"/>
      <c r="H31" s="2" t="s">
        <v>129</v>
      </c>
    </row>
    <row r="32" spans="2:8" ht="13.5" thickBot="1">
      <c r="B32" s="108"/>
      <c r="C32" s="112">
        <v>0.1</v>
      </c>
      <c r="D32" s="112">
        <v>0.2</v>
      </c>
      <c r="E32" s="112">
        <v>0.3</v>
      </c>
      <c r="F32" s="112">
        <v>0.4</v>
      </c>
      <c r="G32" s="108"/>
      <c r="H32" s="108" t="s">
        <v>109</v>
      </c>
    </row>
    <row r="33" spans="2:8" ht="12.75">
      <c r="B33" t="s">
        <v>115</v>
      </c>
      <c r="C33" s="3">
        <f>C5*0.1</f>
        <v>220</v>
      </c>
      <c r="D33" s="3">
        <f>D5*0.2</f>
        <v>480</v>
      </c>
      <c r="E33" s="3">
        <f>E5*0.3</f>
        <v>690</v>
      </c>
      <c r="F33" s="3">
        <f>F5*0.4</f>
        <v>960</v>
      </c>
      <c r="G33" s="3" t="s">
        <v>130</v>
      </c>
      <c r="H33" s="3">
        <f>SUM(C33:F33)</f>
        <v>2350</v>
      </c>
    </row>
    <row r="34" spans="2:8" ht="12.75">
      <c r="B34" t="s">
        <v>116</v>
      </c>
      <c r="C34" s="3">
        <f>C6*0.1</f>
        <v>200</v>
      </c>
      <c r="D34" s="3">
        <f>D6*0.2</f>
        <v>420</v>
      </c>
      <c r="E34" s="3">
        <f>E6*0.3</f>
        <v>660</v>
      </c>
      <c r="F34" s="3">
        <f>F6*0.4</f>
        <v>880</v>
      </c>
      <c r="G34" s="3" t="s">
        <v>130</v>
      </c>
      <c r="H34" s="3">
        <f>SUM(C34:F34)</f>
        <v>2160</v>
      </c>
    </row>
    <row r="35" spans="2:8" ht="12.75">
      <c r="B35" t="s">
        <v>117</v>
      </c>
      <c r="C35" s="3">
        <f>C7*0.1</f>
        <v>230</v>
      </c>
      <c r="D35" s="3">
        <f>D7*0.2</f>
        <v>480</v>
      </c>
      <c r="E35" s="3">
        <f>E7*0.3</f>
        <v>690</v>
      </c>
      <c r="F35" s="3">
        <f>F7*0.4</f>
        <v>1000</v>
      </c>
      <c r="G35" s="3" t="s">
        <v>130</v>
      </c>
      <c r="H35" s="3">
        <f>SUM(C35:F35)</f>
        <v>2400</v>
      </c>
    </row>
    <row r="36" spans="2:8" ht="12.75">
      <c r="B36" t="s">
        <v>118</v>
      </c>
      <c r="C36" s="3">
        <f>C8*0.1</f>
        <v>180</v>
      </c>
      <c r="D36" s="3">
        <f>D8*0.2</f>
        <v>380</v>
      </c>
      <c r="E36" s="3">
        <f>E8*0.3</f>
        <v>540</v>
      </c>
      <c r="F36" s="3">
        <f>F8*0.4</f>
        <v>800</v>
      </c>
      <c r="G36" s="3" t="s">
        <v>130</v>
      </c>
      <c r="H36" s="3">
        <f>SUM(C36:F36)</f>
        <v>1900</v>
      </c>
    </row>
    <row r="37" spans="2:8" ht="12.75">
      <c r="B37" t="s">
        <v>119</v>
      </c>
      <c r="C37" s="3">
        <f>C9*0.1</f>
        <v>190</v>
      </c>
      <c r="D37" s="3">
        <f>D9*0.2</f>
        <v>360</v>
      </c>
      <c r="E37" s="3">
        <f>E9*0.3</f>
        <v>630</v>
      </c>
      <c r="F37" s="3">
        <f>F9*0.4</f>
        <v>800</v>
      </c>
      <c r="G37" s="3" t="s">
        <v>130</v>
      </c>
      <c r="H37" s="3">
        <f>SUM(C37:F37)</f>
        <v>1980</v>
      </c>
    </row>
    <row r="38" spans="2:8" ht="12.75">
      <c r="B38" t="s">
        <v>120</v>
      </c>
      <c r="C38" s="3"/>
      <c r="D38" s="3"/>
      <c r="E38" s="3"/>
      <c r="F38" s="3"/>
      <c r="G38" s="3"/>
      <c r="H38" s="3"/>
    </row>
    <row r="39" spans="2:8" ht="13.5" thickBot="1">
      <c r="B39" s="74" t="s">
        <v>121</v>
      </c>
      <c r="C39" s="105">
        <f>C11*0.1</f>
        <v>280</v>
      </c>
      <c r="D39" s="105">
        <f>D11*0.2</f>
        <v>540</v>
      </c>
      <c r="E39" s="105">
        <f>E11*0.3</f>
        <v>900</v>
      </c>
      <c r="F39" s="105">
        <f>F11*0.4</f>
        <v>1160</v>
      </c>
      <c r="G39" s="105" t="s">
        <v>130</v>
      </c>
      <c r="H39" s="105">
        <f>SUM(C39:F39)</f>
        <v>2880</v>
      </c>
    </row>
    <row r="40" spans="3:8" ht="12.75">
      <c r="C40" s="3">
        <f>SUM(C33:C39)</f>
        <v>1300</v>
      </c>
      <c r="D40" s="3">
        <f>SUM(D33:D39)</f>
        <v>2660</v>
      </c>
      <c r="E40" s="3">
        <f>SUM(E33:E39)</f>
        <v>4110</v>
      </c>
      <c r="F40" s="3">
        <f>SUM(F33:F39)</f>
        <v>5600</v>
      </c>
      <c r="G40" s="3" t="s">
        <v>130</v>
      </c>
      <c r="H40" s="3">
        <f>SUM(C40:F40)</f>
        <v>13670</v>
      </c>
    </row>
  </sheetData>
  <mergeCells count="1">
    <mergeCell ref="C31:F3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B2:H40"/>
  <sheetViews>
    <sheetView showGridLines="0" workbookViewId="0" topLeftCell="A2">
      <selection activeCell="A1" sqref="A1"/>
    </sheetView>
  </sheetViews>
  <sheetFormatPr defaultColWidth="9.140625" defaultRowHeight="12.75"/>
  <cols>
    <col min="6" max="6" width="10.140625" style="0" customWidth="1"/>
  </cols>
  <sheetData>
    <row r="2" ht="12.75">
      <c r="B2" s="19" t="s">
        <v>108</v>
      </c>
    </row>
    <row r="4" spans="2:4" ht="18" customHeight="1" thickBot="1">
      <c r="B4" s="98" t="s">
        <v>91</v>
      </c>
      <c r="C4" s="1" t="s">
        <v>92</v>
      </c>
      <c r="D4" s="1" t="s">
        <v>93</v>
      </c>
    </row>
    <row r="5" spans="2:4" ht="12.75">
      <c r="B5" s="99" t="s">
        <v>94</v>
      </c>
      <c r="C5" s="100">
        <v>700</v>
      </c>
      <c r="D5" s="100">
        <v>660</v>
      </c>
    </row>
    <row r="6" spans="2:4" ht="12.75">
      <c r="B6" s="99" t="s">
        <v>95</v>
      </c>
      <c r="C6" s="100">
        <v>760</v>
      </c>
      <c r="D6" s="100">
        <v>840</v>
      </c>
    </row>
    <row r="7" spans="2:4" ht="12.75">
      <c r="B7" s="99" t="s">
        <v>96</v>
      </c>
      <c r="C7" s="100">
        <v>780</v>
      </c>
      <c r="D7" s="100">
        <v>750</v>
      </c>
    </row>
    <row r="8" spans="2:4" ht="12.75">
      <c r="B8" s="99" t="s">
        <v>97</v>
      </c>
      <c r="C8" s="100">
        <v>790</v>
      </c>
      <c r="D8" s="100">
        <v>835</v>
      </c>
    </row>
    <row r="9" spans="2:4" ht="12.75">
      <c r="B9" s="99" t="s">
        <v>98</v>
      </c>
      <c r="C9" s="100">
        <v>850</v>
      </c>
      <c r="D9" s="100">
        <v>910</v>
      </c>
    </row>
    <row r="10" spans="2:4" ht="12.75">
      <c r="B10" s="99" t="s">
        <v>99</v>
      </c>
      <c r="C10" s="100">
        <v>950</v>
      </c>
      <c r="D10" s="100">
        <v>890</v>
      </c>
    </row>
    <row r="11" spans="2:4" ht="12.75">
      <c r="B11" s="99"/>
      <c r="C11" s="100"/>
      <c r="D11" s="100"/>
    </row>
    <row r="12" spans="2:4" ht="12.75">
      <c r="B12" s="99"/>
      <c r="C12" s="100"/>
      <c r="D12" s="100"/>
    </row>
    <row r="13" spans="2:4" ht="12.75">
      <c r="B13" s="99"/>
      <c r="C13" s="100"/>
      <c r="D13" s="100"/>
    </row>
    <row r="14" spans="2:4" ht="12.75">
      <c r="B14" s="99"/>
      <c r="C14" s="100"/>
      <c r="D14" s="100"/>
    </row>
    <row r="15" spans="2:4" ht="12.75">
      <c r="B15" s="99"/>
      <c r="C15" s="100"/>
      <c r="D15" s="100"/>
    </row>
    <row r="16" spans="2:4" ht="12.75">
      <c r="B16" s="99"/>
      <c r="C16" s="99"/>
      <c r="D16" s="99"/>
    </row>
    <row r="17" spans="2:4" ht="13.5" thickBot="1">
      <c r="B17" s="101"/>
      <c r="C17" s="101"/>
      <c r="D17" s="101"/>
    </row>
    <row r="20" ht="12.75">
      <c r="B20" s="102" t="s">
        <v>100</v>
      </c>
    </row>
    <row r="21" spans="2:8" s="104" customFormat="1" ht="37.5" customHeight="1" thickBot="1">
      <c r="B21" s="7"/>
      <c r="C21" s="7" t="s">
        <v>101</v>
      </c>
      <c r="D21" s="7" t="s">
        <v>102</v>
      </c>
      <c r="E21" s="7" t="s">
        <v>103</v>
      </c>
      <c r="F21" s="7" t="s">
        <v>104</v>
      </c>
      <c r="G21" s="7" t="s">
        <v>105</v>
      </c>
      <c r="H21" s="103" t="s">
        <v>10</v>
      </c>
    </row>
    <row r="22" spans="2:8" ht="12.75">
      <c r="B22" t="str">
        <f aca="true" t="shared" si="0" ref="B22:B34">IF(C5="","",B5)</f>
        <v>October</v>
      </c>
      <c r="C22">
        <f aca="true" t="shared" si="1" ref="C22:D35">IF(C5="","",C5)</f>
        <v>700</v>
      </c>
      <c r="D22">
        <f t="shared" si="1"/>
        <v>660</v>
      </c>
      <c r="E22" s="3">
        <f aca="true" t="shared" si="2" ref="E22:E34">IF(B5="","",C22-D22)</f>
        <v>40</v>
      </c>
      <c r="F22" s="3">
        <f>IF(B22="","",E22)</f>
        <v>40</v>
      </c>
      <c r="G22" s="2">
        <f aca="true" t="shared" si="3" ref="G22:G34">IF(B5="","",ABS(E22))</f>
        <v>40</v>
      </c>
      <c r="H22" s="11">
        <f>IF(C5="","",G22)</f>
        <v>40</v>
      </c>
    </row>
    <row r="23" spans="2:8" ht="12.75">
      <c r="B23" t="str">
        <f t="shared" si="0"/>
        <v>November</v>
      </c>
      <c r="C23">
        <f t="shared" si="1"/>
        <v>760</v>
      </c>
      <c r="D23">
        <f t="shared" si="1"/>
        <v>840</v>
      </c>
      <c r="E23" s="3">
        <f t="shared" si="2"/>
        <v>-80</v>
      </c>
      <c r="F23" s="3">
        <f aca="true" t="shared" si="4" ref="F23:F34">IF(B23="","",E23+F22)</f>
        <v>-40</v>
      </c>
      <c r="G23" s="2">
        <f t="shared" si="3"/>
        <v>80</v>
      </c>
      <c r="H23" s="11">
        <f aca="true" t="shared" si="5" ref="H23:H34">IF(G23="","",H22+G23)</f>
        <v>120</v>
      </c>
    </row>
    <row r="24" spans="2:8" ht="12.75">
      <c r="B24" t="str">
        <f t="shared" si="0"/>
        <v>December</v>
      </c>
      <c r="C24">
        <f t="shared" si="1"/>
        <v>780</v>
      </c>
      <c r="D24">
        <f t="shared" si="1"/>
        <v>750</v>
      </c>
      <c r="E24" s="3">
        <f t="shared" si="2"/>
        <v>30</v>
      </c>
      <c r="F24" s="3">
        <f t="shared" si="4"/>
        <v>-10</v>
      </c>
      <c r="G24" s="2">
        <f t="shared" si="3"/>
        <v>30</v>
      </c>
      <c r="H24" s="11">
        <f t="shared" si="5"/>
        <v>150</v>
      </c>
    </row>
    <row r="25" spans="2:8" ht="12.75">
      <c r="B25" t="str">
        <f t="shared" si="0"/>
        <v>January</v>
      </c>
      <c r="C25">
        <f t="shared" si="1"/>
        <v>790</v>
      </c>
      <c r="D25">
        <f t="shared" si="1"/>
        <v>835</v>
      </c>
      <c r="E25" s="3">
        <f t="shared" si="2"/>
        <v>-45</v>
      </c>
      <c r="F25" s="3">
        <f t="shared" si="4"/>
        <v>-55</v>
      </c>
      <c r="G25" s="2">
        <f t="shared" si="3"/>
        <v>45</v>
      </c>
      <c r="H25" s="11">
        <f t="shared" si="5"/>
        <v>195</v>
      </c>
    </row>
    <row r="26" spans="2:8" ht="12.75">
      <c r="B26" t="str">
        <f t="shared" si="0"/>
        <v>February</v>
      </c>
      <c r="C26">
        <f t="shared" si="1"/>
        <v>850</v>
      </c>
      <c r="D26">
        <f t="shared" si="1"/>
        <v>910</v>
      </c>
      <c r="E26" s="3">
        <f t="shared" si="2"/>
        <v>-60</v>
      </c>
      <c r="F26" s="3">
        <f t="shared" si="4"/>
        <v>-115</v>
      </c>
      <c r="G26" s="2">
        <f t="shared" si="3"/>
        <v>60</v>
      </c>
      <c r="H26" s="11">
        <f t="shared" si="5"/>
        <v>255</v>
      </c>
    </row>
    <row r="27" spans="2:8" ht="12.75">
      <c r="B27" t="str">
        <f t="shared" si="0"/>
        <v>March</v>
      </c>
      <c r="C27">
        <f t="shared" si="1"/>
        <v>950</v>
      </c>
      <c r="D27">
        <f t="shared" si="1"/>
        <v>890</v>
      </c>
      <c r="E27" s="3">
        <f t="shared" si="2"/>
        <v>60</v>
      </c>
      <c r="F27" s="3">
        <f t="shared" si="4"/>
        <v>-55</v>
      </c>
      <c r="G27" s="2">
        <f t="shared" si="3"/>
        <v>60</v>
      </c>
      <c r="H27" s="11">
        <f t="shared" si="5"/>
        <v>315</v>
      </c>
    </row>
    <row r="28" spans="2:8" ht="12.75">
      <c r="B28">
        <f t="shared" si="0"/>
      </c>
      <c r="C28">
        <f t="shared" si="1"/>
      </c>
      <c r="D28">
        <f t="shared" si="1"/>
      </c>
      <c r="E28" s="3">
        <f t="shared" si="2"/>
      </c>
      <c r="F28" s="3">
        <f t="shared" si="4"/>
      </c>
      <c r="G28" s="2">
        <f t="shared" si="3"/>
      </c>
      <c r="H28" s="11">
        <f t="shared" si="5"/>
      </c>
    </row>
    <row r="29" spans="2:8" ht="12.75">
      <c r="B29">
        <f t="shared" si="0"/>
      </c>
      <c r="C29">
        <f t="shared" si="1"/>
      </c>
      <c r="D29">
        <f t="shared" si="1"/>
      </c>
      <c r="E29" s="3">
        <f t="shared" si="2"/>
      </c>
      <c r="F29" s="3">
        <f t="shared" si="4"/>
      </c>
      <c r="G29" s="2">
        <f t="shared" si="3"/>
      </c>
      <c r="H29" s="11">
        <f t="shared" si="5"/>
      </c>
    </row>
    <row r="30" spans="2:8" ht="12.75">
      <c r="B30">
        <f t="shared" si="0"/>
      </c>
      <c r="C30">
        <f t="shared" si="1"/>
      </c>
      <c r="D30">
        <f t="shared" si="1"/>
      </c>
      <c r="E30" s="3">
        <f t="shared" si="2"/>
      </c>
      <c r="F30" s="3">
        <f t="shared" si="4"/>
      </c>
      <c r="G30" s="2">
        <f t="shared" si="3"/>
      </c>
      <c r="H30" s="11">
        <f t="shared" si="5"/>
      </c>
    </row>
    <row r="31" spans="2:8" ht="12.75">
      <c r="B31">
        <f t="shared" si="0"/>
      </c>
      <c r="C31">
        <f t="shared" si="1"/>
      </c>
      <c r="D31">
        <f t="shared" si="1"/>
      </c>
      <c r="E31" s="3">
        <f t="shared" si="2"/>
      </c>
      <c r="F31" s="3">
        <f t="shared" si="4"/>
      </c>
      <c r="G31" s="2">
        <f t="shared" si="3"/>
      </c>
      <c r="H31" s="11">
        <f t="shared" si="5"/>
      </c>
    </row>
    <row r="32" spans="2:8" ht="12.75">
      <c r="B32">
        <f t="shared" si="0"/>
      </c>
      <c r="C32">
        <f t="shared" si="1"/>
      </c>
      <c r="D32">
        <f t="shared" si="1"/>
      </c>
      <c r="E32" s="3">
        <f t="shared" si="2"/>
      </c>
      <c r="F32" s="3">
        <f t="shared" si="4"/>
      </c>
      <c r="G32" s="2">
        <f t="shared" si="3"/>
      </c>
      <c r="H32" s="11">
        <f t="shared" si="5"/>
      </c>
    </row>
    <row r="33" spans="2:8" ht="12.75">
      <c r="B33">
        <f t="shared" si="0"/>
      </c>
      <c r="C33">
        <f t="shared" si="1"/>
      </c>
      <c r="D33">
        <f t="shared" si="1"/>
      </c>
      <c r="E33" s="3">
        <f t="shared" si="2"/>
      </c>
      <c r="F33" s="3">
        <f t="shared" si="4"/>
      </c>
      <c r="G33" s="2">
        <f t="shared" si="3"/>
      </c>
      <c r="H33" s="11">
        <f t="shared" si="5"/>
      </c>
    </row>
    <row r="34" spans="2:8" ht="13.5" thickBot="1">
      <c r="B34" s="74">
        <f t="shared" si="0"/>
      </c>
      <c r="C34" s="74">
        <f t="shared" si="1"/>
      </c>
      <c r="D34" s="74">
        <f t="shared" si="1"/>
      </c>
      <c r="E34" s="105">
        <f t="shared" si="2"/>
      </c>
      <c r="F34" s="105">
        <f t="shared" si="4"/>
      </c>
      <c r="G34" s="75">
        <f t="shared" si="3"/>
      </c>
      <c r="H34" s="28">
        <f t="shared" si="5"/>
      </c>
    </row>
    <row r="35" spans="2:7" ht="13.5" thickBot="1">
      <c r="B35">
        <f>IF(B18="","",B18)</f>
      </c>
      <c r="C35">
        <f t="shared" si="1"/>
      </c>
      <c r="D35">
        <f t="shared" si="1"/>
      </c>
      <c r="E35" s="3"/>
      <c r="F35" s="105">
        <f>SUM(E22:E34)</f>
        <v>-55</v>
      </c>
      <c r="G35" s="75">
        <f>SUM(G22:G34)</f>
        <v>315</v>
      </c>
    </row>
    <row r="38" spans="6:7" ht="12.75">
      <c r="F38" s="106" t="s">
        <v>106</v>
      </c>
      <c r="G38" t="str">
        <f>CONCATENATE(G35," / ",COUNT(G22:G34)," = ",FIXED(G35/COUNT(G22:G34),1))</f>
        <v>315 / 6 = 52.5</v>
      </c>
    </row>
    <row r="39" ht="12.75">
      <c r="F39" s="106"/>
    </row>
    <row r="40" spans="6:7" ht="12.75">
      <c r="F40" s="106" t="s">
        <v>107</v>
      </c>
      <c r="G40" t="str">
        <f>CONCATENATE(F35," / ",FIXED(G35/COUNT(G22:G34),1)," = ",FIXED(F35/(G35/COUNT(G22:G34)),2))</f>
        <v>-55 / 52.5 = -1.05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B2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8.00390625" style="11" customWidth="1"/>
    <col min="3" max="3" width="10.7109375" style="11" bestFit="1" customWidth="1"/>
    <col min="4" max="4" width="12.28125" style="11" bestFit="1" customWidth="1"/>
    <col min="5" max="5" width="9.7109375" style="11" customWidth="1"/>
    <col min="6" max="6" width="15.28125" style="11" customWidth="1"/>
    <col min="7" max="7" width="11.00390625" style="11" customWidth="1"/>
    <col min="8" max="16384" width="9.140625" style="10" customWidth="1"/>
  </cols>
  <sheetData>
    <row r="2" ht="12.75">
      <c r="B2" s="60" t="s">
        <v>150</v>
      </c>
    </row>
    <row r="3" ht="12.75">
      <c r="B3" s="60"/>
    </row>
    <row r="4" ht="12.75">
      <c r="B4" s="60"/>
    </row>
    <row r="6" spans="2:7" ht="12.75">
      <c r="B6" s="113" t="s">
        <v>27</v>
      </c>
      <c r="C6" s="113" t="s">
        <v>28</v>
      </c>
      <c r="D6" s="113" t="s">
        <v>29</v>
      </c>
      <c r="E6" s="113" t="s">
        <v>30</v>
      </c>
      <c r="F6" s="113" t="s">
        <v>31</v>
      </c>
      <c r="G6" s="113" t="s">
        <v>32</v>
      </c>
    </row>
    <row r="7" spans="2:7" ht="14.25">
      <c r="B7" s="114" t="s">
        <v>24</v>
      </c>
      <c r="C7" s="114" t="s">
        <v>25</v>
      </c>
      <c r="D7" s="114" t="s">
        <v>26</v>
      </c>
      <c r="E7" s="114" t="s">
        <v>67</v>
      </c>
      <c r="F7" s="114" t="s">
        <v>68</v>
      </c>
      <c r="G7" s="115" t="s">
        <v>33</v>
      </c>
    </row>
    <row r="8" spans="2:12" ht="13.5" customHeight="1" thickBot="1">
      <c r="B8" s="30" t="s">
        <v>91</v>
      </c>
      <c r="C8" s="116" t="s">
        <v>1</v>
      </c>
      <c r="D8" s="117"/>
      <c r="E8" s="117"/>
      <c r="F8" s="117"/>
      <c r="G8" s="117"/>
      <c r="I8" s="10" t="s">
        <v>131</v>
      </c>
      <c r="L8" s="10" t="s">
        <v>132</v>
      </c>
    </row>
    <row r="9" spans="2:12" ht="12.75">
      <c r="B9" s="118">
        <v>1</v>
      </c>
      <c r="C9" s="119">
        <v>568.99</v>
      </c>
      <c r="D9" s="35">
        <f aca="true" t="shared" si="0" ref="D9:D20">IF(B9="","",B9*C9)</f>
        <v>568.99</v>
      </c>
      <c r="E9" s="35">
        <f aca="true" t="shared" si="1" ref="E9:E20">IF(B9="","",B9^2)</f>
        <v>1</v>
      </c>
      <c r="F9" s="35">
        <f aca="true" t="shared" si="2" ref="F9:F20">IF(B9="","",C9^2)</f>
        <v>323749.6201</v>
      </c>
      <c r="G9" s="36">
        <f aca="true" t="shared" si="3" ref="G9:G20">IF(B9="","",$C$27+(B9*$C$26))</f>
        <v>540.2983333333334</v>
      </c>
      <c r="I9" s="10" t="s">
        <v>133</v>
      </c>
      <c r="L9" s="10" t="s">
        <v>133</v>
      </c>
    </row>
    <row r="10" spans="2:7" ht="12.75">
      <c r="B10" s="118">
        <v>2</v>
      </c>
      <c r="C10" s="119">
        <v>564.09</v>
      </c>
      <c r="D10" s="35">
        <f t="shared" si="0"/>
        <v>1128.18</v>
      </c>
      <c r="E10" s="35">
        <f t="shared" si="1"/>
        <v>4</v>
      </c>
      <c r="F10" s="35">
        <f t="shared" si="2"/>
        <v>318197.52810000005</v>
      </c>
      <c r="G10" s="36">
        <f t="shared" si="3"/>
        <v>579.9198809523809</v>
      </c>
    </row>
    <row r="11" spans="2:12" ht="12.75">
      <c r="B11" s="118">
        <v>3</v>
      </c>
      <c r="C11" s="119">
        <v>578.92</v>
      </c>
      <c r="D11" s="35">
        <f t="shared" si="0"/>
        <v>1736.7599999999998</v>
      </c>
      <c r="E11" s="35">
        <f t="shared" si="1"/>
        <v>9</v>
      </c>
      <c r="F11" s="35">
        <f t="shared" si="2"/>
        <v>335148.36639999994</v>
      </c>
      <c r="G11" s="36">
        <f t="shared" si="3"/>
        <v>619.5414285714286</v>
      </c>
      <c r="I11" s="114" t="s">
        <v>24</v>
      </c>
      <c r="L11" s="10" t="s">
        <v>134</v>
      </c>
    </row>
    <row r="12" spans="2:13" ht="16.5" thickBot="1">
      <c r="B12" s="118">
        <v>4</v>
      </c>
      <c r="C12" s="119">
        <v>587.79</v>
      </c>
      <c r="D12" s="35">
        <f t="shared" si="0"/>
        <v>2351.16</v>
      </c>
      <c r="E12" s="35">
        <f t="shared" si="1"/>
        <v>16</v>
      </c>
      <c r="F12" s="35">
        <f t="shared" si="2"/>
        <v>345497.0841</v>
      </c>
      <c r="G12" s="36">
        <f t="shared" si="3"/>
        <v>659.1629761904762</v>
      </c>
      <c r="I12" s="30" t="s">
        <v>91</v>
      </c>
      <c r="J12" s="30" t="s">
        <v>136</v>
      </c>
      <c r="L12" s="30" t="s">
        <v>135</v>
      </c>
      <c r="M12" s="30" t="s">
        <v>137</v>
      </c>
    </row>
    <row r="13" spans="2:13" ht="12.75">
      <c r="B13" s="118">
        <v>5</v>
      </c>
      <c r="C13" s="119">
        <v>789.01</v>
      </c>
      <c r="D13" s="35">
        <f t="shared" si="0"/>
        <v>3945.05</v>
      </c>
      <c r="E13" s="35">
        <f t="shared" si="1"/>
        <v>25</v>
      </c>
      <c r="F13" s="35">
        <f t="shared" si="2"/>
        <v>622536.7801</v>
      </c>
      <c r="G13" s="36">
        <f t="shared" si="3"/>
        <v>698.7845238095238</v>
      </c>
      <c r="I13" s="120">
        <v>9</v>
      </c>
      <c r="J13" s="121">
        <f aca="true" t="shared" si="4" ref="J13:J20">IF(I13="","",$C$27+$C$26*I13)</f>
        <v>857.2707142857142</v>
      </c>
      <c r="L13" s="122">
        <v>0.527</v>
      </c>
      <c r="M13" s="123">
        <f aca="true" t="shared" si="5" ref="M13:M20">IF(L13="","",J13*L13)</f>
        <v>451.78166642857144</v>
      </c>
    </row>
    <row r="14" spans="2:13" ht="12.75">
      <c r="B14" s="118">
        <v>6</v>
      </c>
      <c r="C14" s="119">
        <v>793.91</v>
      </c>
      <c r="D14" s="35">
        <f t="shared" si="0"/>
        <v>4763.46</v>
      </c>
      <c r="E14" s="35">
        <f t="shared" si="1"/>
        <v>36</v>
      </c>
      <c r="F14" s="35">
        <f t="shared" si="2"/>
        <v>630293.0880999999</v>
      </c>
      <c r="G14" s="36">
        <f t="shared" si="3"/>
        <v>738.4060714285714</v>
      </c>
      <c r="I14" s="120">
        <v>10</v>
      </c>
      <c r="J14" s="121">
        <f t="shared" si="4"/>
        <v>896.8922619047619</v>
      </c>
      <c r="L14" s="122">
        <v>0.957</v>
      </c>
      <c r="M14" s="123">
        <f t="shared" si="5"/>
        <v>858.3258946428571</v>
      </c>
    </row>
    <row r="15" spans="2:13" ht="12.75">
      <c r="B15" s="118">
        <v>7</v>
      </c>
      <c r="C15" s="119">
        <v>779.08</v>
      </c>
      <c r="D15" s="35">
        <f t="shared" si="0"/>
        <v>5453.56</v>
      </c>
      <c r="E15" s="35">
        <f t="shared" si="1"/>
        <v>49</v>
      </c>
      <c r="F15" s="35">
        <f t="shared" si="2"/>
        <v>606965.6464000001</v>
      </c>
      <c r="G15" s="36">
        <f t="shared" si="3"/>
        <v>778.027619047619</v>
      </c>
      <c r="I15" s="120">
        <v>11</v>
      </c>
      <c r="J15" s="121">
        <f t="shared" si="4"/>
        <v>936.5138095238094</v>
      </c>
      <c r="L15" s="122">
        <v>1.529</v>
      </c>
      <c r="M15" s="123">
        <f t="shared" si="5"/>
        <v>1431.9296147619045</v>
      </c>
    </row>
    <row r="16" spans="2:13" ht="12.75">
      <c r="B16" s="118">
        <v>8</v>
      </c>
      <c r="C16" s="119">
        <v>770</v>
      </c>
      <c r="D16" s="35">
        <f t="shared" si="0"/>
        <v>6160</v>
      </c>
      <c r="E16" s="35">
        <f t="shared" si="1"/>
        <v>64</v>
      </c>
      <c r="F16" s="35">
        <f t="shared" si="2"/>
        <v>592900</v>
      </c>
      <c r="G16" s="36">
        <f t="shared" si="3"/>
        <v>817.6491666666666</v>
      </c>
      <c r="I16" s="120">
        <v>12</v>
      </c>
      <c r="J16" s="121">
        <f t="shared" si="4"/>
        <v>976.1353571428571</v>
      </c>
      <c r="L16" s="122">
        <v>0.987</v>
      </c>
      <c r="M16" s="123">
        <f t="shared" si="5"/>
        <v>963.4455975</v>
      </c>
    </row>
    <row r="17" spans="2:13" ht="12.75">
      <c r="B17" s="118"/>
      <c r="C17" s="119"/>
      <c r="D17" s="35">
        <f t="shared" si="0"/>
      </c>
      <c r="E17" s="35">
        <f t="shared" si="1"/>
      </c>
      <c r="F17" s="35">
        <f t="shared" si="2"/>
      </c>
      <c r="G17" s="36">
        <f t="shared" si="3"/>
      </c>
      <c r="I17" s="120"/>
      <c r="J17" s="121">
        <f t="shared" si="4"/>
      </c>
      <c r="L17" s="122"/>
      <c r="M17" s="123">
        <f t="shared" si="5"/>
      </c>
    </row>
    <row r="18" spans="2:13" ht="12.75">
      <c r="B18" s="118"/>
      <c r="C18" s="119"/>
      <c r="D18" s="35">
        <f t="shared" si="0"/>
      </c>
      <c r="E18" s="35">
        <f t="shared" si="1"/>
      </c>
      <c r="F18" s="35">
        <f t="shared" si="2"/>
      </c>
      <c r="G18" s="36">
        <f t="shared" si="3"/>
      </c>
      <c r="I18" s="120"/>
      <c r="J18" s="121">
        <f t="shared" si="4"/>
      </c>
      <c r="L18" s="122"/>
      <c r="M18" s="123">
        <f t="shared" si="5"/>
      </c>
    </row>
    <row r="19" spans="2:13" ht="12.75">
      <c r="B19" s="118"/>
      <c r="C19" s="119"/>
      <c r="D19" s="35">
        <f t="shared" si="0"/>
      </c>
      <c r="E19" s="35">
        <f t="shared" si="1"/>
      </c>
      <c r="F19" s="35">
        <f t="shared" si="2"/>
      </c>
      <c r="G19" s="36">
        <f t="shared" si="3"/>
      </c>
      <c r="I19" s="120"/>
      <c r="J19" s="121">
        <f t="shared" si="4"/>
      </c>
      <c r="L19" s="122"/>
      <c r="M19" s="123">
        <f t="shared" si="5"/>
      </c>
    </row>
    <row r="20" spans="2:13" ht="13.5" thickBot="1">
      <c r="B20" s="124"/>
      <c r="C20" s="125"/>
      <c r="D20" s="37">
        <f t="shared" si="0"/>
      </c>
      <c r="E20" s="37">
        <f t="shared" si="1"/>
      </c>
      <c r="F20" s="37">
        <f t="shared" si="2"/>
      </c>
      <c r="G20" s="40">
        <f t="shared" si="3"/>
      </c>
      <c r="I20" s="101"/>
      <c r="J20" s="126">
        <f t="shared" si="4"/>
      </c>
      <c r="L20" s="127"/>
      <c r="M20" s="128">
        <f t="shared" si="5"/>
      </c>
    </row>
    <row r="21" spans="2:7" ht="8.25" customHeight="1">
      <c r="B21" s="41"/>
      <c r="C21" s="41"/>
      <c r="D21" s="41"/>
      <c r="E21" s="41"/>
      <c r="F21" s="41"/>
      <c r="G21" s="42"/>
    </row>
    <row r="22" spans="2:7" ht="12.75">
      <c r="B22" s="35">
        <f>SUM(B9:B20)</f>
        <v>36</v>
      </c>
      <c r="C22" s="35">
        <f>SUM(C9:C20)</f>
        <v>5431.79</v>
      </c>
      <c r="D22" s="35">
        <f>SUM(D9:D20)</f>
        <v>26107.16</v>
      </c>
      <c r="E22" s="35">
        <f>SUM(E9:E20)</f>
        <v>204</v>
      </c>
      <c r="F22" s="35">
        <f>SUM(F9:F20)</f>
        <v>3775288.1133</v>
      </c>
      <c r="G22" s="38"/>
    </row>
    <row r="24" spans="3:4" ht="12.75">
      <c r="C24" s="43">
        <f>B22/COUNT(C9:C20)</f>
        <v>4.5</v>
      </c>
      <c r="D24" s="39" t="s">
        <v>35</v>
      </c>
    </row>
    <row r="25" spans="3:6" ht="12.75">
      <c r="C25" s="43">
        <f>C22/COUNT(C9:C20)</f>
        <v>678.97375</v>
      </c>
      <c r="D25" s="39" t="s">
        <v>34</v>
      </c>
      <c r="E25" s="10"/>
      <c r="F25" s="10"/>
    </row>
    <row r="26" spans="3:6" ht="12.75">
      <c r="C26" s="43">
        <f>(D22-(COUNT(C9:C20)*C24*C25))/(E22-(COUNT(C9:C20)*C24^2))</f>
        <v>39.62154761904761</v>
      </c>
      <c r="D26" s="39" t="s">
        <v>36</v>
      </c>
      <c r="E26" s="21"/>
      <c r="F26" s="39"/>
    </row>
    <row r="27" spans="3:6" ht="12.75">
      <c r="C27" s="43">
        <f>C25-(C26*C24)</f>
        <v>500.67678571428576</v>
      </c>
      <c r="D27" s="39" t="s">
        <v>37</v>
      </c>
      <c r="E27" s="21"/>
      <c r="F27" s="39"/>
    </row>
    <row r="28" spans="3:6" ht="12.75">
      <c r="C28" s="43"/>
      <c r="D28" s="39"/>
      <c r="E28" s="21"/>
      <c r="F28" s="39"/>
    </row>
    <row r="30" ht="12.75">
      <c r="C30" s="31" t="str">
        <f>CONCATENATE("Regression Equation is Y = ",FIXED(C27,2),IF(C26&lt;0," - "," + "),FIXED(C26,1),"*X")</f>
        <v>Regression Equation is Y = 500.68 + 39.6*X</v>
      </c>
    </row>
  </sheetData>
  <printOptions horizontalCentered="1"/>
  <pageMargins left="1" right="1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2.140625" style="10" customWidth="1"/>
    <col min="3" max="4" width="9.7109375" style="10" customWidth="1"/>
    <col min="5" max="5" width="9.8515625" style="10" customWidth="1"/>
    <col min="6" max="6" width="9.421875" style="10" customWidth="1"/>
    <col min="7" max="7" width="10.7109375" style="10" customWidth="1"/>
    <col min="8" max="8" width="10.140625" style="10" customWidth="1"/>
    <col min="9" max="9" width="9.7109375" style="10" customWidth="1"/>
    <col min="10" max="10" width="10.57421875" style="10" customWidth="1"/>
    <col min="11" max="16384" width="12.140625" style="10" customWidth="1"/>
  </cols>
  <sheetData>
    <row r="2" ht="12.75">
      <c r="B2" s="19" t="s">
        <v>139</v>
      </c>
    </row>
    <row r="4" spans="2:10" ht="26.25" thickBot="1"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2:10" ht="12.75">
      <c r="B5" s="11">
        <v>1</v>
      </c>
      <c r="C5" s="20">
        <v>1000</v>
      </c>
      <c r="D5" s="11">
        <v>950</v>
      </c>
      <c r="E5" s="20">
        <f aca="true" t="shared" si="0" ref="E5:E10">D5-C5</f>
        <v>-50</v>
      </c>
      <c r="F5" s="20">
        <f>0+E5</f>
        <v>-50</v>
      </c>
      <c r="G5" s="11">
        <f aca="true" t="shared" si="1" ref="G5:G10">ABS(E5)</f>
        <v>50</v>
      </c>
      <c r="H5" s="11">
        <f>G5</f>
        <v>50</v>
      </c>
      <c r="I5" s="18">
        <f aca="true" t="shared" si="2" ref="I5:I10">H5/B5</f>
        <v>50</v>
      </c>
      <c r="J5" s="21">
        <f aca="true" t="shared" si="3" ref="J5:J10">F5/I5</f>
        <v>-1</v>
      </c>
    </row>
    <row r="6" spans="2:10" ht="12.75">
      <c r="B6" s="11">
        <v>2</v>
      </c>
      <c r="C6" s="20">
        <v>1000</v>
      </c>
      <c r="D6" s="20">
        <v>1070</v>
      </c>
      <c r="E6" s="20">
        <f t="shared" si="0"/>
        <v>70</v>
      </c>
      <c r="F6" s="20">
        <f>E6+F5</f>
        <v>20</v>
      </c>
      <c r="G6" s="11">
        <f t="shared" si="1"/>
        <v>70</v>
      </c>
      <c r="H6" s="11">
        <f>G6+H5</f>
        <v>120</v>
      </c>
      <c r="I6" s="18">
        <f t="shared" si="2"/>
        <v>60</v>
      </c>
      <c r="J6" s="21">
        <f t="shared" si="3"/>
        <v>0.3333333333333333</v>
      </c>
    </row>
    <row r="7" spans="2:10" ht="12.75">
      <c r="B7" s="11">
        <v>3</v>
      </c>
      <c r="C7" s="20">
        <v>1000</v>
      </c>
      <c r="D7" s="20">
        <v>1100</v>
      </c>
      <c r="E7" s="20">
        <f t="shared" si="0"/>
        <v>100</v>
      </c>
      <c r="F7" s="20">
        <f>E7+F6</f>
        <v>120</v>
      </c>
      <c r="G7" s="11">
        <f t="shared" si="1"/>
        <v>100</v>
      </c>
      <c r="H7" s="11">
        <f>G7+H6</f>
        <v>220</v>
      </c>
      <c r="I7" s="18">
        <f t="shared" si="2"/>
        <v>73.33333333333333</v>
      </c>
      <c r="J7" s="21">
        <f t="shared" si="3"/>
        <v>1.6363636363636365</v>
      </c>
    </row>
    <row r="8" spans="2:10" ht="12.75">
      <c r="B8" s="11">
        <v>4</v>
      </c>
      <c r="C8" s="20">
        <v>1000</v>
      </c>
      <c r="D8" s="20">
        <v>960</v>
      </c>
      <c r="E8" s="20">
        <f t="shared" si="0"/>
        <v>-40</v>
      </c>
      <c r="F8" s="20">
        <f>E8+F7</f>
        <v>80</v>
      </c>
      <c r="G8" s="11">
        <f t="shared" si="1"/>
        <v>40</v>
      </c>
      <c r="H8" s="11">
        <f>G8+H7</f>
        <v>260</v>
      </c>
      <c r="I8" s="18">
        <f t="shared" si="2"/>
        <v>65</v>
      </c>
      <c r="J8" s="18">
        <f t="shared" si="3"/>
        <v>1.2307692307692308</v>
      </c>
    </row>
    <row r="9" spans="2:10" ht="12.75">
      <c r="B9" s="11">
        <v>5</v>
      </c>
      <c r="C9" s="20">
        <v>1000</v>
      </c>
      <c r="D9" s="20">
        <v>1090</v>
      </c>
      <c r="E9" s="20">
        <f t="shared" si="0"/>
        <v>90</v>
      </c>
      <c r="F9" s="20">
        <f>E9+F8</f>
        <v>170</v>
      </c>
      <c r="G9" s="11">
        <f t="shared" si="1"/>
        <v>90</v>
      </c>
      <c r="H9" s="11">
        <f>G9+H8</f>
        <v>350</v>
      </c>
      <c r="I9" s="18">
        <f t="shared" si="2"/>
        <v>70</v>
      </c>
      <c r="J9" s="18">
        <f t="shared" si="3"/>
        <v>2.4285714285714284</v>
      </c>
    </row>
    <row r="10" spans="2:10" ht="13.5" thickBot="1">
      <c r="B10" s="22">
        <v>6</v>
      </c>
      <c r="C10" s="23">
        <v>1000</v>
      </c>
      <c r="D10" s="23">
        <v>1050</v>
      </c>
      <c r="E10" s="23">
        <f t="shared" si="0"/>
        <v>50</v>
      </c>
      <c r="F10" s="23">
        <f>E10+F9</f>
        <v>220</v>
      </c>
      <c r="G10" s="22">
        <f t="shared" si="1"/>
        <v>50</v>
      </c>
      <c r="H10" s="22">
        <f>G10+H9</f>
        <v>400</v>
      </c>
      <c r="I10" s="24">
        <f t="shared" si="2"/>
        <v>66.66666666666667</v>
      </c>
      <c r="J10" s="24">
        <f t="shared" si="3"/>
        <v>3.3</v>
      </c>
    </row>
    <row r="11" spans="5:10" ht="12.75">
      <c r="E11" s="20"/>
      <c r="F11" s="20"/>
      <c r="G11" s="20"/>
      <c r="H11" s="20"/>
      <c r="I11" s="20"/>
      <c r="J11" s="20"/>
    </row>
    <row r="12" spans="5:6" ht="12.75">
      <c r="E12" s="25">
        <f>H10/6</f>
        <v>66.66666666666667</v>
      </c>
      <c r="F12" s="12" t="s">
        <v>14</v>
      </c>
    </row>
    <row r="13" spans="5:6" ht="12.75">
      <c r="E13" s="8">
        <f>F10/E12</f>
        <v>3.3</v>
      </c>
      <c r="F13" s="12" t="s">
        <v>15</v>
      </c>
    </row>
    <row r="15" spans="5:6" ht="12.75">
      <c r="E15" s="26">
        <v>2.394</v>
      </c>
      <c r="F15" s="12" t="s">
        <v>16</v>
      </c>
    </row>
    <row r="16" spans="5:6" ht="12.75">
      <c r="E16" s="26">
        <v>-2.394</v>
      </c>
      <c r="F16" s="12" t="s">
        <v>17</v>
      </c>
    </row>
    <row r="19" spans="4:6" ht="12.75">
      <c r="D19" s="10">
        <v>0</v>
      </c>
      <c r="E19" s="27">
        <f>E15</f>
        <v>2.394</v>
      </c>
      <c r="F19" s="27">
        <f>E16</f>
        <v>-2.394</v>
      </c>
    </row>
    <row r="20" spans="4:6" ht="12.75">
      <c r="D20" s="10">
        <v>7</v>
      </c>
      <c r="E20" s="27">
        <f>E15</f>
        <v>2.394</v>
      </c>
      <c r="F20" s="27">
        <f>E16</f>
        <v>-2.394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G24"/>
  <sheetViews>
    <sheetView showGridLines="0" workbookViewId="0" topLeftCell="A1">
      <selection activeCell="B6" sqref="B6:C17"/>
    </sheetView>
  </sheetViews>
  <sheetFormatPr defaultColWidth="9.140625" defaultRowHeight="12.75"/>
  <cols>
    <col min="1" max="1" width="9.140625" style="10" customWidth="1"/>
    <col min="2" max="2" width="5.28125" style="11" bestFit="1" customWidth="1"/>
    <col min="3" max="3" width="10.7109375" style="11" bestFit="1" customWidth="1"/>
    <col min="4" max="4" width="12.28125" style="11" bestFit="1" customWidth="1"/>
    <col min="5" max="5" width="9.7109375" style="11" customWidth="1"/>
    <col min="6" max="6" width="15.28125" style="11" customWidth="1"/>
    <col min="7" max="7" width="11.00390625" style="11" customWidth="1"/>
    <col min="8" max="16384" width="9.140625" style="10" customWidth="1"/>
  </cols>
  <sheetData>
    <row r="2" ht="12.75">
      <c r="B2" s="60" t="s">
        <v>147</v>
      </c>
    </row>
    <row r="4" spans="2:7" ht="12.75">
      <c r="B4" s="32" t="s">
        <v>27</v>
      </c>
      <c r="C4" s="32" t="s">
        <v>28</v>
      </c>
      <c r="D4" s="32" t="s">
        <v>29</v>
      </c>
      <c r="E4" s="32" t="s">
        <v>30</v>
      </c>
      <c r="F4" s="32" t="s">
        <v>31</v>
      </c>
      <c r="G4" s="32" t="s">
        <v>32</v>
      </c>
    </row>
    <row r="5" spans="2:7" ht="18.75" customHeight="1" thickBot="1">
      <c r="B5" s="33" t="s">
        <v>24</v>
      </c>
      <c r="C5" s="33" t="s">
        <v>25</v>
      </c>
      <c r="D5" s="33" t="s">
        <v>26</v>
      </c>
      <c r="E5" s="33" t="s">
        <v>67</v>
      </c>
      <c r="F5" s="33" t="s">
        <v>68</v>
      </c>
      <c r="G5" s="34" t="s">
        <v>33</v>
      </c>
    </row>
    <row r="6" spans="2:7" ht="12.75">
      <c r="B6" s="35">
        <v>1</v>
      </c>
      <c r="C6" s="35">
        <v>600</v>
      </c>
      <c r="D6" s="35">
        <f>B6*C6</f>
        <v>600</v>
      </c>
      <c r="E6" s="35">
        <f>B6^2</f>
        <v>1</v>
      </c>
      <c r="F6" s="35">
        <f>C6^2</f>
        <v>360000</v>
      </c>
      <c r="G6" s="36">
        <f aca="true" t="shared" si="0" ref="G6:G17">$E$22+(B6*$E$21)</f>
        <v>801.2820512820512</v>
      </c>
    </row>
    <row r="7" spans="2:7" ht="12.75">
      <c r="B7" s="35">
        <v>2</v>
      </c>
      <c r="C7" s="35">
        <v>1550</v>
      </c>
      <c r="D7" s="35">
        <f aca="true" t="shared" si="1" ref="D7:D17">B7*C7</f>
        <v>3100</v>
      </c>
      <c r="E7" s="35">
        <f aca="true" t="shared" si="2" ref="E7:E17">B7^2</f>
        <v>4</v>
      </c>
      <c r="F7" s="35">
        <f aca="true" t="shared" si="3" ref="F7:F17">C7^2</f>
        <v>2402500</v>
      </c>
      <c r="G7" s="36">
        <f t="shared" si="0"/>
        <v>1160.8974358974358</v>
      </c>
    </row>
    <row r="8" spans="2:7" ht="12.75">
      <c r="B8" s="35">
        <v>3</v>
      </c>
      <c r="C8" s="35">
        <v>1500</v>
      </c>
      <c r="D8" s="35">
        <f t="shared" si="1"/>
        <v>4500</v>
      </c>
      <c r="E8" s="35">
        <f t="shared" si="2"/>
        <v>9</v>
      </c>
      <c r="F8" s="35">
        <f t="shared" si="3"/>
        <v>2250000</v>
      </c>
      <c r="G8" s="36">
        <f t="shared" si="0"/>
        <v>1520.5128205128203</v>
      </c>
    </row>
    <row r="9" spans="2:7" ht="12.75">
      <c r="B9" s="35">
        <v>4</v>
      </c>
      <c r="C9" s="35">
        <v>1500</v>
      </c>
      <c r="D9" s="35">
        <f t="shared" si="1"/>
        <v>6000</v>
      </c>
      <c r="E9" s="35">
        <f t="shared" si="2"/>
        <v>16</v>
      </c>
      <c r="F9" s="35">
        <f t="shared" si="3"/>
        <v>2250000</v>
      </c>
      <c r="G9" s="36">
        <f t="shared" si="0"/>
        <v>1880.128205128205</v>
      </c>
    </row>
    <row r="10" spans="2:7" ht="12.75">
      <c r="B10" s="35">
        <v>5</v>
      </c>
      <c r="C10" s="35">
        <v>2400</v>
      </c>
      <c r="D10" s="35">
        <f t="shared" si="1"/>
        <v>12000</v>
      </c>
      <c r="E10" s="35">
        <f t="shared" si="2"/>
        <v>25</v>
      </c>
      <c r="F10" s="35">
        <f t="shared" si="3"/>
        <v>5760000</v>
      </c>
      <c r="G10" s="36">
        <f t="shared" si="0"/>
        <v>2239.74358974359</v>
      </c>
    </row>
    <row r="11" spans="2:7" ht="12.75">
      <c r="B11" s="35">
        <v>6</v>
      </c>
      <c r="C11" s="35">
        <v>3100</v>
      </c>
      <c r="D11" s="35">
        <f t="shared" si="1"/>
        <v>18600</v>
      </c>
      <c r="E11" s="35">
        <f t="shared" si="2"/>
        <v>36</v>
      </c>
      <c r="F11" s="35">
        <f t="shared" si="3"/>
        <v>9610000</v>
      </c>
      <c r="G11" s="36">
        <f t="shared" si="0"/>
        <v>2599.358974358974</v>
      </c>
    </row>
    <row r="12" spans="2:7" ht="12.75">
      <c r="B12" s="35">
        <v>7</v>
      </c>
      <c r="C12" s="35">
        <v>2600</v>
      </c>
      <c r="D12" s="35">
        <f t="shared" si="1"/>
        <v>18200</v>
      </c>
      <c r="E12" s="35">
        <f t="shared" si="2"/>
        <v>49</v>
      </c>
      <c r="F12" s="35">
        <f t="shared" si="3"/>
        <v>6760000</v>
      </c>
      <c r="G12" s="36">
        <f t="shared" si="0"/>
        <v>2958.974358974359</v>
      </c>
    </row>
    <row r="13" spans="2:7" ht="12.75">
      <c r="B13" s="35">
        <v>8</v>
      </c>
      <c r="C13" s="35">
        <v>2900</v>
      </c>
      <c r="D13" s="35">
        <f t="shared" si="1"/>
        <v>23200</v>
      </c>
      <c r="E13" s="35">
        <f t="shared" si="2"/>
        <v>64</v>
      </c>
      <c r="F13" s="35">
        <f t="shared" si="3"/>
        <v>8410000</v>
      </c>
      <c r="G13" s="36">
        <f t="shared" si="0"/>
        <v>3318.5897435897436</v>
      </c>
    </row>
    <row r="14" spans="2:7" ht="12.75">
      <c r="B14" s="35">
        <v>9</v>
      </c>
      <c r="C14" s="35">
        <v>3800</v>
      </c>
      <c r="D14" s="35">
        <f t="shared" si="1"/>
        <v>34200</v>
      </c>
      <c r="E14" s="35">
        <f t="shared" si="2"/>
        <v>81</v>
      </c>
      <c r="F14" s="35">
        <f t="shared" si="3"/>
        <v>14440000</v>
      </c>
      <c r="G14" s="36">
        <f t="shared" si="0"/>
        <v>3678.2051282051284</v>
      </c>
    </row>
    <row r="15" spans="2:7" ht="12.75">
      <c r="B15" s="35">
        <v>10</v>
      </c>
      <c r="C15" s="35">
        <v>4500</v>
      </c>
      <c r="D15" s="35">
        <f t="shared" si="1"/>
        <v>45000</v>
      </c>
      <c r="E15" s="35">
        <f t="shared" si="2"/>
        <v>100</v>
      </c>
      <c r="F15" s="35">
        <f t="shared" si="3"/>
        <v>20250000</v>
      </c>
      <c r="G15" s="36">
        <f t="shared" si="0"/>
        <v>4037.820512820513</v>
      </c>
    </row>
    <row r="16" spans="2:7" ht="12.75">
      <c r="B16" s="35">
        <v>11</v>
      </c>
      <c r="C16" s="35">
        <v>4000</v>
      </c>
      <c r="D16" s="35">
        <f t="shared" si="1"/>
        <v>44000</v>
      </c>
      <c r="E16" s="35">
        <f t="shared" si="2"/>
        <v>121</v>
      </c>
      <c r="F16" s="35">
        <f t="shared" si="3"/>
        <v>16000000</v>
      </c>
      <c r="G16" s="36">
        <f t="shared" si="0"/>
        <v>4397.4358974358975</v>
      </c>
    </row>
    <row r="17" spans="2:7" ht="13.5" thickBot="1">
      <c r="B17" s="37">
        <v>12</v>
      </c>
      <c r="C17" s="37">
        <v>4900</v>
      </c>
      <c r="D17" s="37">
        <f t="shared" si="1"/>
        <v>58800</v>
      </c>
      <c r="E17" s="37">
        <f t="shared" si="2"/>
        <v>144</v>
      </c>
      <c r="F17" s="37">
        <f t="shared" si="3"/>
        <v>24010000</v>
      </c>
      <c r="G17" s="40">
        <f t="shared" si="0"/>
        <v>4757.051282051281</v>
      </c>
    </row>
    <row r="18" spans="2:7" ht="8.25" customHeight="1">
      <c r="B18" s="41"/>
      <c r="C18" s="41"/>
      <c r="D18" s="41"/>
      <c r="E18" s="41"/>
      <c r="F18" s="41"/>
      <c r="G18" s="42"/>
    </row>
    <row r="19" spans="2:7" ht="12.75">
      <c r="B19" s="35">
        <f>SUM(B6:B17)</f>
        <v>78</v>
      </c>
      <c r="C19" s="35">
        <f>SUM(C6:C17)</f>
        <v>33350</v>
      </c>
      <c r="D19" s="35">
        <f>SUM(D6:D17)</f>
        <v>268200</v>
      </c>
      <c r="E19" s="35">
        <f>SUM(E6:E17)</f>
        <v>650</v>
      </c>
      <c r="F19" s="35">
        <f>SUM(F6:F17)</f>
        <v>112502500</v>
      </c>
      <c r="G19" s="38"/>
    </row>
    <row r="21" spans="3:6" ht="12.75">
      <c r="C21" s="43">
        <f>B19/12</f>
        <v>6.5</v>
      </c>
      <c r="D21" s="39" t="s">
        <v>35</v>
      </c>
      <c r="E21" s="21">
        <f>(D19-(12*C21*C22))/(E19-(12*C21^2))</f>
        <v>359.61538461538464</v>
      </c>
      <c r="F21" s="39" t="s">
        <v>36</v>
      </c>
    </row>
    <row r="22" spans="3:6" ht="12.75">
      <c r="C22" s="43">
        <f>C19/12</f>
        <v>2779.1666666666665</v>
      </c>
      <c r="D22" s="39" t="s">
        <v>34</v>
      </c>
      <c r="E22" s="21">
        <f>C22-(E21*C21)</f>
        <v>441.6666666666665</v>
      </c>
      <c r="F22" s="39" t="s">
        <v>37</v>
      </c>
    </row>
    <row r="24" ht="12.75">
      <c r="C24" s="31" t="str">
        <f>CONCATENATE("Regression Equation is Y = ",FIXED(E22,2),IF(E21&lt;0," - "," + "),FIXED(E21,1),"*x")</f>
        <v>Regression Equation is Y = 441.67 + 359.6*x</v>
      </c>
    </row>
  </sheetData>
  <printOptions horizontalCentered="1"/>
  <pageMargins left="1" right="1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35" t="s">
        <v>148</v>
      </c>
      <c r="B1" s="135" t="s">
        <v>149</v>
      </c>
    </row>
    <row r="2" spans="1:2" ht="12.75">
      <c r="A2" s="35">
        <v>1</v>
      </c>
      <c r="B2" s="35">
        <v>600</v>
      </c>
    </row>
    <row r="3" spans="1:2" ht="12.75">
      <c r="A3" s="35">
        <v>2</v>
      </c>
      <c r="B3" s="35">
        <v>1550</v>
      </c>
    </row>
    <row r="4" spans="1:2" ht="12.75">
      <c r="A4" s="35">
        <v>3</v>
      </c>
      <c r="B4" s="35">
        <v>1500</v>
      </c>
    </row>
    <row r="5" spans="1:2" ht="12.75">
      <c r="A5" s="35">
        <v>4</v>
      </c>
      <c r="B5" s="35">
        <v>1500</v>
      </c>
    </row>
    <row r="6" spans="1:2" ht="12.75">
      <c r="A6" s="35">
        <v>5</v>
      </c>
      <c r="B6" s="35">
        <v>2400</v>
      </c>
    </row>
    <row r="7" spans="1:2" ht="12.75">
      <c r="A7" s="35">
        <v>6</v>
      </c>
      <c r="B7" s="35">
        <v>3100</v>
      </c>
    </row>
    <row r="8" spans="1:2" ht="12.75">
      <c r="A8" s="35">
        <v>7</v>
      </c>
      <c r="B8" s="35">
        <v>2600</v>
      </c>
    </row>
    <row r="9" spans="1:2" ht="12.75">
      <c r="A9" s="35">
        <v>8</v>
      </c>
      <c r="B9" s="35">
        <v>2900</v>
      </c>
    </row>
    <row r="10" spans="1:2" ht="12.75">
      <c r="A10" s="35">
        <v>9</v>
      </c>
      <c r="B10" s="35">
        <v>3800</v>
      </c>
    </row>
    <row r="11" spans="1:2" ht="12.75">
      <c r="A11" s="35">
        <v>10</v>
      </c>
      <c r="B11" s="35">
        <v>4500</v>
      </c>
    </row>
    <row r="12" spans="1:2" ht="12.75">
      <c r="A12" s="35">
        <v>11</v>
      </c>
      <c r="B12" s="35">
        <v>4000</v>
      </c>
    </row>
    <row r="13" spans="1:2" ht="12.75">
      <c r="A13" s="41">
        <v>12</v>
      </c>
      <c r="B13" s="41">
        <v>4900</v>
      </c>
    </row>
    <row r="16" ht="12.75">
      <c r="A16" t="s">
        <v>43</v>
      </c>
    </row>
    <row r="17" ht="13.5" thickBot="1"/>
    <row r="18" spans="1:2" ht="12.75">
      <c r="A18" s="17" t="s">
        <v>44</v>
      </c>
      <c r="B18" s="17"/>
    </row>
    <row r="19" spans="1:2" ht="12.75">
      <c r="A19" s="14" t="s">
        <v>45</v>
      </c>
      <c r="B19" s="14">
        <v>0.9660155803906987</v>
      </c>
    </row>
    <row r="20" spans="1:2" ht="12.75">
      <c r="A20" s="14" t="s">
        <v>46</v>
      </c>
      <c r="B20" s="14">
        <v>0.9331861015575785</v>
      </c>
    </row>
    <row r="21" spans="1:2" ht="12.75">
      <c r="A21" s="14" t="s">
        <v>47</v>
      </c>
      <c r="B21" s="14">
        <v>0.9265047117133364</v>
      </c>
    </row>
    <row r="22" spans="1:2" ht="12.75">
      <c r="A22" s="14" t="s">
        <v>48</v>
      </c>
      <c r="B22" s="14">
        <v>363.87779718203643</v>
      </c>
    </row>
    <row r="23" spans="1:2" ht="13.5" thickBot="1">
      <c r="A23" s="15" t="s">
        <v>49</v>
      </c>
      <c r="B23" s="15">
        <v>12</v>
      </c>
    </row>
    <row r="25" ht="13.5" thickBot="1">
      <c r="A25" t="s">
        <v>50</v>
      </c>
    </row>
    <row r="26" spans="1:6" ht="12.75">
      <c r="A26" s="16"/>
      <c r="B26" s="16" t="s">
        <v>54</v>
      </c>
      <c r="C26" s="16" t="s">
        <v>55</v>
      </c>
      <c r="D26" s="16" t="s">
        <v>56</v>
      </c>
      <c r="E26" s="16" t="s">
        <v>21</v>
      </c>
      <c r="F26" s="16" t="s">
        <v>57</v>
      </c>
    </row>
    <row r="27" spans="1:6" ht="12.75">
      <c r="A27" s="14" t="s">
        <v>51</v>
      </c>
      <c r="B27" s="14">
        <v>1</v>
      </c>
      <c r="C27" s="14">
        <v>18493221.153846152</v>
      </c>
      <c r="D27" s="14">
        <v>18493221.153846152</v>
      </c>
      <c r="E27" s="14">
        <v>139.66945849773668</v>
      </c>
      <c r="F27" s="14">
        <v>3.3720241192852534E-07</v>
      </c>
    </row>
    <row r="28" spans="1:6" ht="12.75">
      <c r="A28" s="14" t="s">
        <v>52</v>
      </c>
      <c r="B28" s="14">
        <v>10</v>
      </c>
      <c r="C28" s="14">
        <v>1324070.5128205125</v>
      </c>
      <c r="D28" s="14">
        <v>132407.05128205125</v>
      </c>
      <c r="E28" s="14"/>
      <c r="F28" s="14"/>
    </row>
    <row r="29" spans="1:6" ht="13.5" thickBot="1">
      <c r="A29" s="15" t="s">
        <v>53</v>
      </c>
      <c r="B29" s="15">
        <v>11</v>
      </c>
      <c r="C29" s="15">
        <v>19817291.666666664</v>
      </c>
      <c r="D29" s="15"/>
      <c r="E29" s="15"/>
      <c r="F29" s="15"/>
    </row>
    <row r="30" ht="13.5" thickBot="1"/>
    <row r="31" spans="1:9" ht="12.75">
      <c r="A31" s="16"/>
      <c r="B31" s="16" t="s">
        <v>58</v>
      </c>
      <c r="C31" s="16" t="s">
        <v>48</v>
      </c>
      <c r="D31" s="16" t="s">
        <v>59</v>
      </c>
      <c r="E31" s="16" t="s">
        <v>60</v>
      </c>
      <c r="F31" s="16" t="s">
        <v>61</v>
      </c>
      <c r="G31" s="16" t="s">
        <v>62</v>
      </c>
      <c r="H31" s="16" t="s">
        <v>63</v>
      </c>
      <c r="I31" s="16" t="s">
        <v>64</v>
      </c>
    </row>
    <row r="32" spans="1:9" ht="12.75">
      <c r="A32" s="14" t="s">
        <v>23</v>
      </c>
      <c r="B32" s="14">
        <v>441.666666666667</v>
      </c>
      <c r="C32" s="14">
        <v>223.95130294706053</v>
      </c>
      <c r="D32" s="14">
        <v>1.972154932141975</v>
      </c>
      <c r="E32" s="14">
        <v>0.07686869451877118</v>
      </c>
      <c r="F32" s="14">
        <v>-57.32801873212645</v>
      </c>
      <c r="G32" s="14">
        <v>940.6613520654605</v>
      </c>
      <c r="H32" s="14">
        <v>-57.32801873212645</v>
      </c>
      <c r="I32" s="14">
        <v>940.6613520654605</v>
      </c>
    </row>
    <row r="33" spans="1:9" ht="13.5" thickBot="1">
      <c r="A33" s="15" t="s">
        <v>65</v>
      </c>
      <c r="B33" s="15">
        <v>359.6153846153846</v>
      </c>
      <c r="C33" s="15">
        <v>30.42899005124587</v>
      </c>
      <c r="D33" s="15">
        <v>11.818183383995049</v>
      </c>
      <c r="E33" s="15">
        <v>3.372024119285252E-07</v>
      </c>
      <c r="F33" s="15">
        <v>291.8153579229132</v>
      </c>
      <c r="G33" s="15">
        <v>427.41541130785595</v>
      </c>
      <c r="H33" s="15">
        <v>291.8153579229132</v>
      </c>
      <c r="I33" s="15">
        <v>427.41541130785595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G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6.140625" style="11" bestFit="1" customWidth="1"/>
    <col min="3" max="3" width="8.421875" style="11" bestFit="1" customWidth="1"/>
    <col min="4" max="5" width="9.140625" style="11" customWidth="1"/>
    <col min="6" max="7" width="11.7109375" style="11" customWidth="1"/>
    <col min="8" max="16384" width="9.140625" style="10" customWidth="1"/>
  </cols>
  <sheetData>
    <row r="2" ht="12.75">
      <c r="B2" s="60" t="s">
        <v>140</v>
      </c>
    </row>
    <row r="3" ht="12.75">
      <c r="B3" s="31"/>
    </row>
    <row r="4" spans="4:6" ht="25.5">
      <c r="D4" s="44" t="s">
        <v>39</v>
      </c>
      <c r="E4" s="46">
        <f>E5/50</f>
        <v>1.4</v>
      </c>
      <c r="F4" s="44" t="s">
        <v>41</v>
      </c>
    </row>
    <row r="5" spans="2:6" ht="12.75">
      <c r="B5" s="11">
        <v>0.95</v>
      </c>
      <c r="C5" s="45">
        <v>1</v>
      </c>
      <c r="D5" s="29">
        <f>-50*E4</f>
        <v>-70</v>
      </c>
      <c r="E5" s="13">
        <v>70</v>
      </c>
      <c r="F5" s="21">
        <f>1-(0.05*$E$4)</f>
        <v>0.93</v>
      </c>
    </row>
    <row r="6" spans="2:6" ht="12.75">
      <c r="B6" s="11">
        <v>0.9</v>
      </c>
      <c r="C6" s="45">
        <v>2</v>
      </c>
      <c r="D6" s="29">
        <f>-100*E4</f>
        <v>-140</v>
      </c>
      <c r="F6" s="21">
        <f>1-(0.1*$E$4)</f>
        <v>0.86</v>
      </c>
    </row>
    <row r="7" spans="2:6" ht="12.75">
      <c r="B7" s="11">
        <v>0.8</v>
      </c>
      <c r="C7" s="45">
        <v>3</v>
      </c>
      <c r="D7" s="29">
        <f>-200*E4</f>
        <v>-280</v>
      </c>
      <c r="F7" s="21">
        <f>1-(0.2*$E$4)</f>
        <v>0.72</v>
      </c>
    </row>
    <row r="8" spans="2:6" ht="12.75">
      <c r="B8" s="11">
        <v>0.6</v>
      </c>
      <c r="C8" s="45">
        <v>4</v>
      </c>
      <c r="D8" s="29">
        <f>-300*E4</f>
        <v>-420</v>
      </c>
      <c r="F8" s="21">
        <f>1-(0.4*$E$4)</f>
        <v>0.44000000000000006</v>
      </c>
    </row>
    <row r="9" spans="2:6" ht="12.75">
      <c r="B9" s="11">
        <v>0.8</v>
      </c>
      <c r="C9" s="45">
        <v>5</v>
      </c>
      <c r="D9" s="29">
        <f>-200*E4</f>
        <v>-280</v>
      </c>
      <c r="F9" s="21">
        <f>1-(0.2*$E$4)</f>
        <v>0.72</v>
      </c>
    </row>
    <row r="10" spans="2:6" ht="12.75">
      <c r="B10" s="11">
        <v>0.9</v>
      </c>
      <c r="C10" s="45">
        <v>6</v>
      </c>
      <c r="D10" s="29">
        <f>-100*E4</f>
        <v>-140</v>
      </c>
      <c r="F10" s="21">
        <f>1-(0.1*$E$4)</f>
        <v>0.86</v>
      </c>
    </row>
    <row r="11" spans="2:6" ht="12.75">
      <c r="B11" s="11">
        <v>1.1</v>
      </c>
      <c r="C11" s="45">
        <v>7</v>
      </c>
      <c r="D11" s="29">
        <f>100*E4</f>
        <v>140</v>
      </c>
      <c r="F11" s="21">
        <f>1+(0.1*$E$4)</f>
        <v>1.14</v>
      </c>
    </row>
    <row r="12" spans="2:6" ht="12.75">
      <c r="B12" s="11">
        <v>1.2</v>
      </c>
      <c r="C12" s="45">
        <v>8</v>
      </c>
      <c r="D12" s="29">
        <f>200*E4</f>
        <v>280</v>
      </c>
      <c r="F12" s="21">
        <f>1+(0.2*$E$4)</f>
        <v>1.28</v>
      </c>
    </row>
    <row r="13" spans="2:6" ht="12.75">
      <c r="B13" s="11">
        <v>1.4</v>
      </c>
      <c r="C13" s="45">
        <v>9</v>
      </c>
      <c r="D13" s="29">
        <f>300*E4</f>
        <v>420</v>
      </c>
      <c r="F13" s="21">
        <f>1+(0.4*$E$4)</f>
        <v>1.56</v>
      </c>
    </row>
    <row r="14" spans="2:6" ht="12.75">
      <c r="B14" s="11">
        <v>1.2</v>
      </c>
      <c r="C14" s="45">
        <v>10</v>
      </c>
      <c r="D14" s="29">
        <f>200*E4</f>
        <v>280</v>
      </c>
      <c r="F14" s="21">
        <f>1+(0.2*$E$4)</f>
        <v>1.28</v>
      </c>
    </row>
    <row r="15" spans="2:6" ht="12.75">
      <c r="B15" s="11">
        <v>1.1</v>
      </c>
      <c r="C15" s="45">
        <v>11</v>
      </c>
      <c r="D15" s="29">
        <f>100*E4</f>
        <v>140</v>
      </c>
      <c r="F15" s="21">
        <f>1+(0.1*$E$4)</f>
        <v>1.14</v>
      </c>
    </row>
    <row r="16" spans="2:6" ht="12.75">
      <c r="B16" s="11">
        <v>1.05</v>
      </c>
      <c r="C16" s="45">
        <v>12</v>
      </c>
      <c r="D16" s="29">
        <f>50*E4</f>
        <v>70</v>
      </c>
      <c r="F16" s="21">
        <f>1+(0.05*$E$4)</f>
        <v>1.07</v>
      </c>
    </row>
    <row r="17" spans="4:6" ht="12.75">
      <c r="D17" s="29"/>
      <c r="F17" s="29"/>
    </row>
    <row r="18" spans="2:7" ht="26.25" thickBot="1">
      <c r="B18" s="28" t="s">
        <v>5</v>
      </c>
      <c r="C18" s="28" t="s">
        <v>38</v>
      </c>
      <c r="D18" s="47" t="s">
        <v>39</v>
      </c>
      <c r="E18" s="47" t="s">
        <v>40</v>
      </c>
      <c r="F18" s="47" t="s">
        <v>41</v>
      </c>
      <c r="G18" s="47" t="s">
        <v>42</v>
      </c>
    </row>
    <row r="19" spans="2:7" ht="12.75">
      <c r="B19" s="11">
        <v>1</v>
      </c>
      <c r="C19" s="11">
        <v>1000</v>
      </c>
      <c r="D19" s="29">
        <f>D5</f>
        <v>-70</v>
      </c>
      <c r="E19" s="29">
        <f>C19+D19</f>
        <v>930</v>
      </c>
      <c r="F19" s="21">
        <f>F5</f>
        <v>0.93</v>
      </c>
      <c r="G19" s="11">
        <f>C19*F19</f>
        <v>930</v>
      </c>
    </row>
    <row r="20" spans="2:7" ht="12.75">
      <c r="B20" s="11">
        <v>2</v>
      </c>
      <c r="C20" s="11">
        <v>1050</v>
      </c>
      <c r="D20" s="29">
        <f aca="true" t="shared" si="0" ref="D20:F30">D6</f>
        <v>-140</v>
      </c>
      <c r="E20" s="29">
        <f aca="true" t="shared" si="1" ref="E20:E66">C20+D20</f>
        <v>910</v>
      </c>
      <c r="F20" s="21">
        <f t="shared" si="0"/>
        <v>0.86</v>
      </c>
      <c r="G20" s="11">
        <f aca="true" t="shared" si="2" ref="G20:G66">C20*F20</f>
        <v>903</v>
      </c>
    </row>
    <row r="21" spans="2:7" ht="12.75">
      <c r="B21" s="11">
        <v>3</v>
      </c>
      <c r="C21" s="11">
        <v>1100</v>
      </c>
      <c r="D21" s="29">
        <f t="shared" si="0"/>
        <v>-280</v>
      </c>
      <c r="E21" s="29">
        <f t="shared" si="1"/>
        <v>820</v>
      </c>
      <c r="F21" s="21">
        <f t="shared" si="0"/>
        <v>0.72</v>
      </c>
      <c r="G21" s="11">
        <f t="shared" si="2"/>
        <v>792</v>
      </c>
    </row>
    <row r="22" spans="2:7" ht="12.75">
      <c r="B22" s="11">
        <v>4</v>
      </c>
      <c r="C22" s="11">
        <v>1150</v>
      </c>
      <c r="D22" s="29">
        <f t="shared" si="0"/>
        <v>-420</v>
      </c>
      <c r="E22" s="29">
        <f t="shared" si="1"/>
        <v>730</v>
      </c>
      <c r="F22" s="21">
        <f t="shared" si="0"/>
        <v>0.44000000000000006</v>
      </c>
      <c r="G22" s="11">
        <f t="shared" si="2"/>
        <v>506.00000000000006</v>
      </c>
    </row>
    <row r="23" spans="2:7" ht="12.75">
      <c r="B23" s="11">
        <v>5</v>
      </c>
      <c r="C23" s="11">
        <v>1200</v>
      </c>
      <c r="D23" s="29">
        <f t="shared" si="0"/>
        <v>-280</v>
      </c>
      <c r="E23" s="29">
        <f t="shared" si="1"/>
        <v>920</v>
      </c>
      <c r="F23" s="21">
        <f t="shared" si="0"/>
        <v>0.72</v>
      </c>
      <c r="G23" s="11">
        <f t="shared" si="2"/>
        <v>864</v>
      </c>
    </row>
    <row r="24" spans="2:7" ht="12.75">
      <c r="B24" s="11">
        <v>6</v>
      </c>
      <c r="C24" s="11">
        <v>1250</v>
      </c>
      <c r="D24" s="29">
        <f t="shared" si="0"/>
        <v>-140</v>
      </c>
      <c r="E24" s="29">
        <f t="shared" si="1"/>
        <v>1110</v>
      </c>
      <c r="F24" s="21">
        <f t="shared" si="0"/>
        <v>0.86</v>
      </c>
      <c r="G24" s="11">
        <f t="shared" si="2"/>
        <v>1075</v>
      </c>
    </row>
    <row r="25" spans="2:7" ht="12.75">
      <c r="B25" s="11">
        <v>7</v>
      </c>
      <c r="C25" s="11">
        <v>1300</v>
      </c>
      <c r="D25" s="29">
        <f t="shared" si="0"/>
        <v>140</v>
      </c>
      <c r="E25" s="29">
        <f t="shared" si="1"/>
        <v>1440</v>
      </c>
      <c r="F25" s="21">
        <f t="shared" si="0"/>
        <v>1.14</v>
      </c>
      <c r="G25" s="11">
        <f t="shared" si="2"/>
        <v>1481.9999999999998</v>
      </c>
    </row>
    <row r="26" spans="2:7" ht="12.75">
      <c r="B26" s="11">
        <v>8</v>
      </c>
      <c r="C26" s="11">
        <v>1350</v>
      </c>
      <c r="D26" s="29">
        <f t="shared" si="0"/>
        <v>280</v>
      </c>
      <c r="E26" s="29">
        <f t="shared" si="1"/>
        <v>1630</v>
      </c>
      <c r="F26" s="21">
        <f t="shared" si="0"/>
        <v>1.28</v>
      </c>
      <c r="G26" s="11">
        <f t="shared" si="2"/>
        <v>1728</v>
      </c>
    </row>
    <row r="27" spans="2:7" ht="12.75">
      <c r="B27" s="11">
        <v>9</v>
      </c>
      <c r="C27" s="11">
        <v>1400</v>
      </c>
      <c r="D27" s="29">
        <f t="shared" si="0"/>
        <v>420</v>
      </c>
      <c r="E27" s="29">
        <f t="shared" si="1"/>
        <v>1820</v>
      </c>
      <c r="F27" s="21">
        <f t="shared" si="0"/>
        <v>1.56</v>
      </c>
      <c r="G27" s="11">
        <f t="shared" si="2"/>
        <v>2184</v>
      </c>
    </row>
    <row r="28" spans="2:7" ht="12.75">
      <c r="B28" s="11">
        <v>10</v>
      </c>
      <c r="C28" s="11">
        <v>1450</v>
      </c>
      <c r="D28" s="29">
        <f t="shared" si="0"/>
        <v>280</v>
      </c>
      <c r="E28" s="29">
        <f t="shared" si="1"/>
        <v>1730</v>
      </c>
      <c r="F28" s="21">
        <f t="shared" si="0"/>
        <v>1.28</v>
      </c>
      <c r="G28" s="11">
        <f t="shared" si="2"/>
        <v>1856</v>
      </c>
    </row>
    <row r="29" spans="2:7" ht="12.75">
      <c r="B29" s="11">
        <v>11</v>
      </c>
      <c r="C29" s="11">
        <v>1500</v>
      </c>
      <c r="D29" s="29">
        <f t="shared" si="0"/>
        <v>140</v>
      </c>
      <c r="E29" s="29">
        <f t="shared" si="1"/>
        <v>1640</v>
      </c>
      <c r="F29" s="21">
        <f t="shared" si="0"/>
        <v>1.14</v>
      </c>
      <c r="G29" s="11">
        <f t="shared" si="2"/>
        <v>1709.9999999999998</v>
      </c>
    </row>
    <row r="30" spans="2:7" ht="12.75">
      <c r="B30" s="11">
        <v>12</v>
      </c>
      <c r="C30" s="11">
        <v>1550</v>
      </c>
      <c r="D30" s="29">
        <f t="shared" si="0"/>
        <v>70</v>
      </c>
      <c r="E30" s="29">
        <f t="shared" si="1"/>
        <v>1620</v>
      </c>
      <c r="F30" s="21">
        <f t="shared" si="0"/>
        <v>1.07</v>
      </c>
      <c r="G30" s="11">
        <f t="shared" si="2"/>
        <v>1658.5</v>
      </c>
    </row>
    <row r="31" spans="2:7" ht="12.75">
      <c r="B31" s="11">
        <v>13</v>
      </c>
      <c r="C31" s="11">
        <v>1600</v>
      </c>
      <c r="D31" s="29">
        <f>D5</f>
        <v>-70</v>
      </c>
      <c r="E31" s="29">
        <f t="shared" si="1"/>
        <v>1530</v>
      </c>
      <c r="F31" s="21">
        <f>F5</f>
        <v>0.93</v>
      </c>
      <c r="G31" s="11">
        <f t="shared" si="2"/>
        <v>1488</v>
      </c>
    </row>
    <row r="32" spans="2:7" ht="12.75">
      <c r="B32" s="11">
        <v>14</v>
      </c>
      <c r="C32" s="11">
        <v>1650</v>
      </c>
      <c r="D32" s="29">
        <f aca="true" t="shared" si="3" ref="D32:F42">D6</f>
        <v>-140</v>
      </c>
      <c r="E32" s="29">
        <f t="shared" si="1"/>
        <v>1510</v>
      </c>
      <c r="F32" s="21">
        <f t="shared" si="3"/>
        <v>0.86</v>
      </c>
      <c r="G32" s="11">
        <f t="shared" si="2"/>
        <v>1419</v>
      </c>
    </row>
    <row r="33" spans="2:7" ht="12.75">
      <c r="B33" s="11">
        <v>15</v>
      </c>
      <c r="C33" s="11">
        <v>1700</v>
      </c>
      <c r="D33" s="29">
        <f t="shared" si="3"/>
        <v>-280</v>
      </c>
      <c r="E33" s="29">
        <f t="shared" si="1"/>
        <v>1420</v>
      </c>
      <c r="F33" s="21">
        <f t="shared" si="3"/>
        <v>0.72</v>
      </c>
      <c r="G33" s="11">
        <f t="shared" si="2"/>
        <v>1224</v>
      </c>
    </row>
    <row r="34" spans="2:7" ht="12.75">
      <c r="B34" s="11">
        <v>16</v>
      </c>
      <c r="C34" s="11">
        <v>1750</v>
      </c>
      <c r="D34" s="29">
        <f t="shared" si="3"/>
        <v>-420</v>
      </c>
      <c r="E34" s="29">
        <f t="shared" si="1"/>
        <v>1330</v>
      </c>
      <c r="F34" s="21">
        <f t="shared" si="3"/>
        <v>0.44000000000000006</v>
      </c>
      <c r="G34" s="11">
        <f t="shared" si="2"/>
        <v>770.0000000000001</v>
      </c>
    </row>
    <row r="35" spans="2:7" ht="12.75">
      <c r="B35" s="11">
        <v>17</v>
      </c>
      <c r="C35" s="11">
        <v>1800</v>
      </c>
      <c r="D35" s="29">
        <f t="shared" si="3"/>
        <v>-280</v>
      </c>
      <c r="E35" s="29">
        <f t="shared" si="1"/>
        <v>1520</v>
      </c>
      <c r="F35" s="21">
        <f t="shared" si="3"/>
        <v>0.72</v>
      </c>
      <c r="G35" s="11">
        <f t="shared" si="2"/>
        <v>1296</v>
      </c>
    </row>
    <row r="36" spans="2:7" ht="12.75">
      <c r="B36" s="11">
        <v>18</v>
      </c>
      <c r="C36" s="11">
        <v>1850</v>
      </c>
      <c r="D36" s="29">
        <f t="shared" si="3"/>
        <v>-140</v>
      </c>
      <c r="E36" s="29">
        <f t="shared" si="1"/>
        <v>1710</v>
      </c>
      <c r="F36" s="21">
        <f t="shared" si="3"/>
        <v>0.86</v>
      </c>
      <c r="G36" s="11">
        <f t="shared" si="2"/>
        <v>1591</v>
      </c>
    </row>
    <row r="37" spans="2:7" ht="12.75">
      <c r="B37" s="11">
        <v>19</v>
      </c>
      <c r="C37" s="11">
        <v>1900</v>
      </c>
      <c r="D37" s="29">
        <f t="shared" si="3"/>
        <v>140</v>
      </c>
      <c r="E37" s="29">
        <f t="shared" si="1"/>
        <v>2040</v>
      </c>
      <c r="F37" s="21">
        <f t="shared" si="3"/>
        <v>1.14</v>
      </c>
      <c r="G37" s="11">
        <f t="shared" si="2"/>
        <v>2166</v>
      </c>
    </row>
    <row r="38" spans="2:7" ht="12.75">
      <c r="B38" s="11">
        <v>20</v>
      </c>
      <c r="C38" s="11">
        <v>1950</v>
      </c>
      <c r="D38" s="29">
        <f t="shared" si="3"/>
        <v>280</v>
      </c>
      <c r="E38" s="29">
        <f t="shared" si="1"/>
        <v>2230</v>
      </c>
      <c r="F38" s="21">
        <f t="shared" si="3"/>
        <v>1.28</v>
      </c>
      <c r="G38" s="11">
        <f t="shared" si="2"/>
        <v>2496</v>
      </c>
    </row>
    <row r="39" spans="2:7" ht="12.75">
      <c r="B39" s="11">
        <v>21</v>
      </c>
      <c r="C39" s="11">
        <v>2000</v>
      </c>
      <c r="D39" s="29">
        <f t="shared" si="3"/>
        <v>420</v>
      </c>
      <c r="E39" s="29">
        <f t="shared" si="1"/>
        <v>2420</v>
      </c>
      <c r="F39" s="21">
        <f t="shared" si="3"/>
        <v>1.56</v>
      </c>
      <c r="G39" s="11">
        <f t="shared" si="2"/>
        <v>3120</v>
      </c>
    </row>
    <row r="40" spans="2:7" ht="12.75">
      <c r="B40" s="11">
        <v>22</v>
      </c>
      <c r="C40" s="11">
        <v>2050</v>
      </c>
      <c r="D40" s="29">
        <f t="shared" si="3"/>
        <v>280</v>
      </c>
      <c r="E40" s="29">
        <f t="shared" si="1"/>
        <v>2330</v>
      </c>
      <c r="F40" s="21">
        <f t="shared" si="3"/>
        <v>1.28</v>
      </c>
      <c r="G40" s="11">
        <f t="shared" si="2"/>
        <v>2624</v>
      </c>
    </row>
    <row r="41" spans="2:7" ht="12.75">
      <c r="B41" s="11">
        <v>23</v>
      </c>
      <c r="C41" s="11">
        <v>2100</v>
      </c>
      <c r="D41" s="29">
        <f t="shared" si="3"/>
        <v>140</v>
      </c>
      <c r="E41" s="29">
        <f t="shared" si="1"/>
        <v>2240</v>
      </c>
      <c r="F41" s="21">
        <f t="shared" si="3"/>
        <v>1.14</v>
      </c>
      <c r="G41" s="11">
        <f t="shared" si="2"/>
        <v>2394</v>
      </c>
    </row>
    <row r="42" spans="2:7" ht="12.75">
      <c r="B42" s="11">
        <v>24</v>
      </c>
      <c r="C42" s="11">
        <v>2150</v>
      </c>
      <c r="D42" s="29">
        <f t="shared" si="3"/>
        <v>70</v>
      </c>
      <c r="E42" s="29">
        <f t="shared" si="1"/>
        <v>2220</v>
      </c>
      <c r="F42" s="21">
        <f t="shared" si="3"/>
        <v>1.07</v>
      </c>
      <c r="G42" s="11">
        <f t="shared" si="2"/>
        <v>2300.5</v>
      </c>
    </row>
    <row r="43" spans="2:7" ht="12.75">
      <c r="B43" s="11">
        <v>25</v>
      </c>
      <c r="C43" s="11">
        <v>2200</v>
      </c>
      <c r="D43" s="29">
        <f>D5</f>
        <v>-70</v>
      </c>
      <c r="E43" s="29">
        <f t="shared" si="1"/>
        <v>2130</v>
      </c>
      <c r="F43" s="21">
        <f>F5</f>
        <v>0.93</v>
      </c>
      <c r="G43" s="11">
        <f t="shared" si="2"/>
        <v>2046</v>
      </c>
    </row>
    <row r="44" spans="2:7" ht="12.75">
      <c r="B44" s="11">
        <v>26</v>
      </c>
      <c r="C44" s="11">
        <v>2250</v>
      </c>
      <c r="D44" s="29">
        <f aca="true" t="shared" si="4" ref="D44:F54">D6</f>
        <v>-140</v>
      </c>
      <c r="E44" s="29">
        <f t="shared" si="1"/>
        <v>2110</v>
      </c>
      <c r="F44" s="21">
        <f t="shared" si="4"/>
        <v>0.86</v>
      </c>
      <c r="G44" s="11">
        <f t="shared" si="2"/>
        <v>1935</v>
      </c>
    </row>
    <row r="45" spans="2:7" ht="12.75">
      <c r="B45" s="11">
        <v>27</v>
      </c>
      <c r="C45" s="11">
        <v>2300</v>
      </c>
      <c r="D45" s="29">
        <f t="shared" si="4"/>
        <v>-280</v>
      </c>
      <c r="E45" s="29">
        <f t="shared" si="1"/>
        <v>2020</v>
      </c>
      <c r="F45" s="21">
        <f t="shared" si="4"/>
        <v>0.72</v>
      </c>
      <c r="G45" s="11">
        <f t="shared" si="2"/>
        <v>1656</v>
      </c>
    </row>
    <row r="46" spans="2:7" ht="12.75">
      <c r="B46" s="11">
        <v>28</v>
      </c>
      <c r="C46" s="11">
        <v>2350</v>
      </c>
      <c r="D46" s="29">
        <f t="shared" si="4"/>
        <v>-420</v>
      </c>
      <c r="E46" s="29">
        <f t="shared" si="1"/>
        <v>1930</v>
      </c>
      <c r="F46" s="21">
        <f t="shared" si="4"/>
        <v>0.44000000000000006</v>
      </c>
      <c r="G46" s="11">
        <f t="shared" si="2"/>
        <v>1034.0000000000002</v>
      </c>
    </row>
    <row r="47" spans="2:7" ht="12.75">
      <c r="B47" s="11">
        <v>29</v>
      </c>
      <c r="C47" s="11">
        <v>2400</v>
      </c>
      <c r="D47" s="29">
        <f t="shared" si="4"/>
        <v>-280</v>
      </c>
      <c r="E47" s="29">
        <f t="shared" si="1"/>
        <v>2120</v>
      </c>
      <c r="F47" s="21">
        <f t="shared" si="4"/>
        <v>0.72</v>
      </c>
      <c r="G47" s="11">
        <f t="shared" si="2"/>
        <v>1728</v>
      </c>
    </row>
    <row r="48" spans="2:7" ht="12.75">
      <c r="B48" s="11">
        <v>30</v>
      </c>
      <c r="C48" s="11">
        <v>2450</v>
      </c>
      <c r="D48" s="29">
        <f t="shared" si="4"/>
        <v>-140</v>
      </c>
      <c r="E48" s="29">
        <f t="shared" si="1"/>
        <v>2310</v>
      </c>
      <c r="F48" s="21">
        <f t="shared" si="4"/>
        <v>0.86</v>
      </c>
      <c r="G48" s="11">
        <f t="shared" si="2"/>
        <v>2107</v>
      </c>
    </row>
    <row r="49" spans="2:7" ht="12.75">
      <c r="B49" s="11">
        <v>31</v>
      </c>
      <c r="C49" s="11">
        <v>2500</v>
      </c>
      <c r="D49" s="29">
        <f t="shared" si="4"/>
        <v>140</v>
      </c>
      <c r="E49" s="29">
        <f t="shared" si="1"/>
        <v>2640</v>
      </c>
      <c r="F49" s="21">
        <f t="shared" si="4"/>
        <v>1.14</v>
      </c>
      <c r="G49" s="11">
        <f t="shared" si="2"/>
        <v>2849.9999999999995</v>
      </c>
    </row>
    <row r="50" spans="2:7" ht="12.75">
      <c r="B50" s="11">
        <v>32</v>
      </c>
      <c r="C50" s="11">
        <v>2550</v>
      </c>
      <c r="D50" s="29">
        <f t="shared" si="4"/>
        <v>280</v>
      </c>
      <c r="E50" s="29">
        <f t="shared" si="1"/>
        <v>2830</v>
      </c>
      <c r="F50" s="21">
        <f t="shared" si="4"/>
        <v>1.28</v>
      </c>
      <c r="G50" s="11">
        <f t="shared" si="2"/>
        <v>3264</v>
      </c>
    </row>
    <row r="51" spans="2:7" ht="12.75">
      <c r="B51" s="11">
        <v>33</v>
      </c>
      <c r="C51" s="11">
        <v>2600</v>
      </c>
      <c r="D51" s="29">
        <f t="shared" si="4"/>
        <v>420</v>
      </c>
      <c r="E51" s="29">
        <f t="shared" si="1"/>
        <v>3020</v>
      </c>
      <c r="F51" s="21">
        <f t="shared" si="4"/>
        <v>1.56</v>
      </c>
      <c r="G51" s="11">
        <f t="shared" si="2"/>
        <v>4056</v>
      </c>
    </row>
    <row r="52" spans="2:7" ht="12.75">
      <c r="B52" s="11">
        <v>34</v>
      </c>
      <c r="C52" s="11">
        <v>2650</v>
      </c>
      <c r="D52" s="29">
        <f t="shared" si="4"/>
        <v>280</v>
      </c>
      <c r="E52" s="29">
        <f t="shared" si="1"/>
        <v>2930</v>
      </c>
      <c r="F52" s="21">
        <f t="shared" si="4"/>
        <v>1.28</v>
      </c>
      <c r="G52" s="11">
        <f t="shared" si="2"/>
        <v>3392</v>
      </c>
    </row>
    <row r="53" spans="2:7" ht="12.75">
      <c r="B53" s="11">
        <v>35</v>
      </c>
      <c r="C53" s="11">
        <v>2700</v>
      </c>
      <c r="D53" s="29">
        <f t="shared" si="4"/>
        <v>140</v>
      </c>
      <c r="E53" s="29">
        <f t="shared" si="1"/>
        <v>2840</v>
      </c>
      <c r="F53" s="21">
        <f t="shared" si="4"/>
        <v>1.14</v>
      </c>
      <c r="G53" s="11">
        <f t="shared" si="2"/>
        <v>3077.9999999999995</v>
      </c>
    </row>
    <row r="54" spans="2:7" ht="12.75">
      <c r="B54" s="11">
        <v>36</v>
      </c>
      <c r="C54" s="11">
        <v>2750</v>
      </c>
      <c r="D54" s="29">
        <f t="shared" si="4"/>
        <v>70</v>
      </c>
      <c r="E54" s="29">
        <f t="shared" si="1"/>
        <v>2820</v>
      </c>
      <c r="F54" s="21">
        <f t="shared" si="4"/>
        <v>1.07</v>
      </c>
      <c r="G54" s="11">
        <f t="shared" si="2"/>
        <v>2942.5</v>
      </c>
    </row>
    <row r="55" spans="2:7" ht="12.75">
      <c r="B55" s="11">
        <v>37</v>
      </c>
      <c r="C55" s="11">
        <v>2800</v>
      </c>
      <c r="D55" s="29">
        <f>D5</f>
        <v>-70</v>
      </c>
      <c r="E55" s="29">
        <f t="shared" si="1"/>
        <v>2730</v>
      </c>
      <c r="F55" s="21">
        <f>F5</f>
        <v>0.93</v>
      </c>
      <c r="G55" s="11">
        <f t="shared" si="2"/>
        <v>2604</v>
      </c>
    </row>
    <row r="56" spans="2:7" ht="12.75">
      <c r="B56" s="11">
        <v>38</v>
      </c>
      <c r="C56" s="11">
        <v>2850</v>
      </c>
      <c r="D56" s="29">
        <f aca="true" t="shared" si="5" ref="D56:F66">D6</f>
        <v>-140</v>
      </c>
      <c r="E56" s="29">
        <f t="shared" si="1"/>
        <v>2710</v>
      </c>
      <c r="F56" s="21">
        <f t="shared" si="5"/>
        <v>0.86</v>
      </c>
      <c r="G56" s="11">
        <f t="shared" si="2"/>
        <v>2451</v>
      </c>
    </row>
    <row r="57" spans="2:7" ht="12.75">
      <c r="B57" s="11">
        <v>39</v>
      </c>
      <c r="C57" s="11">
        <v>2900</v>
      </c>
      <c r="D57" s="29">
        <f t="shared" si="5"/>
        <v>-280</v>
      </c>
      <c r="E57" s="29">
        <f t="shared" si="1"/>
        <v>2620</v>
      </c>
      <c r="F57" s="21">
        <f t="shared" si="5"/>
        <v>0.72</v>
      </c>
      <c r="G57" s="11">
        <f t="shared" si="2"/>
        <v>2088</v>
      </c>
    </row>
    <row r="58" spans="2:7" ht="12.75">
      <c r="B58" s="11">
        <v>40</v>
      </c>
      <c r="C58" s="11">
        <v>2950</v>
      </c>
      <c r="D58" s="29">
        <f t="shared" si="5"/>
        <v>-420</v>
      </c>
      <c r="E58" s="29">
        <f t="shared" si="1"/>
        <v>2530</v>
      </c>
      <c r="F58" s="21">
        <f t="shared" si="5"/>
        <v>0.44000000000000006</v>
      </c>
      <c r="G58" s="11">
        <f t="shared" si="2"/>
        <v>1298.0000000000002</v>
      </c>
    </row>
    <row r="59" spans="2:7" ht="12.75">
      <c r="B59" s="11">
        <v>41</v>
      </c>
      <c r="C59" s="11">
        <v>3000</v>
      </c>
      <c r="D59" s="29">
        <f t="shared" si="5"/>
        <v>-280</v>
      </c>
      <c r="E59" s="29">
        <f t="shared" si="1"/>
        <v>2720</v>
      </c>
      <c r="F59" s="21">
        <f t="shared" si="5"/>
        <v>0.72</v>
      </c>
      <c r="G59" s="11">
        <f t="shared" si="2"/>
        <v>2160</v>
      </c>
    </row>
    <row r="60" spans="2:7" ht="12.75">
      <c r="B60" s="11">
        <v>42</v>
      </c>
      <c r="C60" s="11">
        <v>3050</v>
      </c>
      <c r="D60" s="29">
        <f t="shared" si="5"/>
        <v>-140</v>
      </c>
      <c r="E60" s="29">
        <f t="shared" si="1"/>
        <v>2910</v>
      </c>
      <c r="F60" s="21">
        <f t="shared" si="5"/>
        <v>0.86</v>
      </c>
      <c r="G60" s="11">
        <f t="shared" si="2"/>
        <v>2623</v>
      </c>
    </row>
    <row r="61" spans="2:7" ht="12.75">
      <c r="B61" s="11">
        <v>43</v>
      </c>
      <c r="C61" s="11">
        <v>3100</v>
      </c>
      <c r="D61" s="29">
        <f t="shared" si="5"/>
        <v>140</v>
      </c>
      <c r="E61" s="29">
        <f t="shared" si="1"/>
        <v>3240</v>
      </c>
      <c r="F61" s="21">
        <f t="shared" si="5"/>
        <v>1.14</v>
      </c>
      <c r="G61" s="11">
        <f t="shared" si="2"/>
        <v>3533.9999999999995</v>
      </c>
    </row>
    <row r="62" spans="2:7" ht="12.75">
      <c r="B62" s="11">
        <v>44</v>
      </c>
      <c r="C62" s="11">
        <v>3150</v>
      </c>
      <c r="D62" s="29">
        <f t="shared" si="5"/>
        <v>280</v>
      </c>
      <c r="E62" s="29">
        <f t="shared" si="1"/>
        <v>3430</v>
      </c>
      <c r="F62" s="21">
        <f t="shared" si="5"/>
        <v>1.28</v>
      </c>
      <c r="G62" s="11">
        <f t="shared" si="2"/>
        <v>4032</v>
      </c>
    </row>
    <row r="63" spans="2:7" ht="12.75">
      <c r="B63" s="11">
        <v>45</v>
      </c>
      <c r="C63" s="11">
        <v>3200</v>
      </c>
      <c r="D63" s="29">
        <f t="shared" si="5"/>
        <v>420</v>
      </c>
      <c r="E63" s="29">
        <f t="shared" si="1"/>
        <v>3620</v>
      </c>
      <c r="F63" s="21">
        <f t="shared" si="5"/>
        <v>1.56</v>
      </c>
      <c r="G63" s="11">
        <f t="shared" si="2"/>
        <v>4992</v>
      </c>
    </row>
    <row r="64" spans="2:7" ht="12.75">
      <c r="B64" s="11">
        <v>46</v>
      </c>
      <c r="C64" s="11">
        <v>3250</v>
      </c>
      <c r="D64" s="29">
        <f t="shared" si="5"/>
        <v>280</v>
      </c>
      <c r="E64" s="29">
        <f t="shared" si="1"/>
        <v>3530</v>
      </c>
      <c r="F64" s="21">
        <f t="shared" si="5"/>
        <v>1.28</v>
      </c>
      <c r="G64" s="11">
        <f t="shared" si="2"/>
        <v>4160</v>
      </c>
    </row>
    <row r="65" spans="2:7" ht="12.75">
      <c r="B65" s="11">
        <v>47</v>
      </c>
      <c r="C65" s="11">
        <v>3300</v>
      </c>
      <c r="D65" s="29">
        <f t="shared" si="5"/>
        <v>140</v>
      </c>
      <c r="E65" s="29">
        <f t="shared" si="1"/>
        <v>3440</v>
      </c>
      <c r="F65" s="21">
        <f t="shared" si="5"/>
        <v>1.14</v>
      </c>
      <c r="G65" s="11">
        <f t="shared" si="2"/>
        <v>3761.9999999999995</v>
      </c>
    </row>
    <row r="66" spans="2:7" ht="12.75">
      <c r="B66" s="11">
        <v>48</v>
      </c>
      <c r="C66" s="11">
        <v>3350</v>
      </c>
      <c r="D66" s="29">
        <f t="shared" si="5"/>
        <v>70</v>
      </c>
      <c r="E66" s="29">
        <f t="shared" si="1"/>
        <v>3420</v>
      </c>
      <c r="F66" s="21">
        <f t="shared" si="5"/>
        <v>1.07</v>
      </c>
      <c r="G66" s="11">
        <f t="shared" si="2"/>
        <v>3584.5</v>
      </c>
    </row>
  </sheetData>
  <printOptions/>
  <pageMargins left="0.75" right="0.75" top="1" bottom="1" header="0.5" footer="0.5"/>
  <pageSetup fitToHeight="1" fitToWidth="1" horizontalDpi="600" verticalDpi="600" orientation="portrait" scale="76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12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12.421875" style="0" customWidth="1"/>
  </cols>
  <sheetData>
    <row r="2" ht="12.75">
      <c r="B2" s="60" t="s">
        <v>141</v>
      </c>
    </row>
    <row r="4" ht="25.5">
      <c r="D4" s="62" t="s">
        <v>73</v>
      </c>
    </row>
    <row r="5" spans="2:4" ht="12.75">
      <c r="B5">
        <v>1998</v>
      </c>
      <c r="C5" s="63" t="s">
        <v>70</v>
      </c>
      <c r="D5" s="64">
        <v>300</v>
      </c>
    </row>
    <row r="6" spans="3:4" ht="12.75">
      <c r="C6" s="65" t="s">
        <v>69</v>
      </c>
      <c r="D6" s="66">
        <v>200</v>
      </c>
    </row>
    <row r="7" spans="3:4" ht="12.75">
      <c r="C7" s="65" t="s">
        <v>71</v>
      </c>
      <c r="D7" s="66">
        <v>220</v>
      </c>
    </row>
    <row r="8" spans="3:4" ht="12.75">
      <c r="C8" s="65" t="s">
        <v>72</v>
      </c>
      <c r="D8" s="66">
        <v>530</v>
      </c>
    </row>
    <row r="9" spans="2:4" ht="12.75">
      <c r="B9">
        <v>1999</v>
      </c>
      <c r="C9" s="65" t="s">
        <v>70</v>
      </c>
      <c r="D9" s="66">
        <v>520</v>
      </c>
    </row>
    <row r="10" spans="3:4" ht="12.75">
      <c r="C10" s="65" t="s">
        <v>69</v>
      </c>
      <c r="D10" s="66">
        <v>420</v>
      </c>
    </row>
    <row r="11" spans="3:4" ht="12.75">
      <c r="C11" s="65" t="s">
        <v>71</v>
      </c>
      <c r="D11" s="66">
        <v>400</v>
      </c>
    </row>
    <row r="12" spans="3:9" ht="18">
      <c r="C12" s="67" t="s">
        <v>72</v>
      </c>
      <c r="D12" s="68">
        <v>700</v>
      </c>
      <c r="G12" s="129" t="s">
        <v>142</v>
      </c>
      <c r="H12" s="130"/>
      <c r="I12" t="s">
        <v>74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N20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4.421875" style="0" customWidth="1"/>
    <col min="4" max="4" width="12.00390625" style="0" customWidth="1"/>
    <col min="5" max="6" width="12.8515625" style="0" customWidth="1"/>
    <col min="9" max="9" width="11.421875" style="0" customWidth="1"/>
  </cols>
  <sheetData>
    <row r="2" ht="12.75">
      <c r="B2" s="60" t="s">
        <v>143</v>
      </c>
    </row>
    <row r="3" ht="12.75">
      <c r="B3" s="60"/>
    </row>
    <row r="4" spans="2:9" ht="12.75">
      <c r="B4" s="76"/>
      <c r="C4" s="76"/>
      <c r="D4" s="76"/>
      <c r="E4" s="76"/>
      <c r="F4" s="76"/>
      <c r="H4" s="76"/>
      <c r="I4" s="76"/>
    </row>
    <row r="5" spans="4:9" ht="63.75">
      <c r="D5" s="62" t="s">
        <v>73</v>
      </c>
      <c r="E5" s="62" t="s">
        <v>75</v>
      </c>
      <c r="F5" s="62" t="s">
        <v>77</v>
      </c>
      <c r="I5" s="62" t="s">
        <v>78</v>
      </c>
    </row>
    <row r="6" spans="2:9" ht="16.5" thickBot="1">
      <c r="B6" s="74"/>
      <c r="C6" s="74"/>
      <c r="D6" s="73"/>
      <c r="E6" s="74" t="s">
        <v>76</v>
      </c>
      <c r="F6" s="74"/>
      <c r="H6" s="74"/>
      <c r="I6" s="74"/>
    </row>
    <row r="7" spans="2:14" ht="12.75">
      <c r="B7">
        <v>2004</v>
      </c>
      <c r="C7" s="69" t="s">
        <v>70</v>
      </c>
      <c r="D7" s="70">
        <v>300</v>
      </c>
      <c r="E7" s="2">
        <f>170+55*M7</f>
        <v>225</v>
      </c>
      <c r="F7" s="72">
        <f>D7/E7</f>
        <v>1.3333333333333333</v>
      </c>
      <c r="H7" s="77" t="s">
        <v>70</v>
      </c>
      <c r="I7" s="72">
        <f>AVERAGE(F7,F11)</f>
        <v>1.250936329588015</v>
      </c>
      <c r="M7" s="82">
        <v>1</v>
      </c>
      <c r="N7" s="82"/>
    </row>
    <row r="8" spans="3:14" ht="12.75">
      <c r="C8" s="69" t="s">
        <v>69</v>
      </c>
      <c r="D8" s="70">
        <v>200</v>
      </c>
      <c r="E8" s="2">
        <f aca="true" t="shared" si="0" ref="E8:E14">170+55*M8</f>
        <v>280</v>
      </c>
      <c r="F8" s="78">
        <f aca="true" t="shared" si="1" ref="F8:F14">D8/E8</f>
        <v>0.7142857142857143</v>
      </c>
      <c r="H8" s="77" t="s">
        <v>69</v>
      </c>
      <c r="I8" s="78">
        <f>AVERAGE(F8,F12)</f>
        <v>0.7771428571428571</v>
      </c>
      <c r="M8" s="82">
        <v>2</v>
      </c>
      <c r="N8" s="82"/>
    </row>
    <row r="9" spans="3:14" ht="12.75">
      <c r="C9" s="69" t="s">
        <v>71</v>
      </c>
      <c r="D9" s="70">
        <v>220</v>
      </c>
      <c r="E9" s="2">
        <f t="shared" si="0"/>
        <v>335</v>
      </c>
      <c r="F9" s="79">
        <f t="shared" si="1"/>
        <v>0.6567164179104478</v>
      </c>
      <c r="H9" s="77" t="s">
        <v>71</v>
      </c>
      <c r="I9" s="79">
        <f>AVERAGE(F9,F13)</f>
        <v>0.6887185693155842</v>
      </c>
      <c r="M9" s="82">
        <v>3</v>
      </c>
      <c r="N9" s="82"/>
    </row>
    <row r="10" spans="3:14" ht="12.75">
      <c r="C10" s="69" t="s">
        <v>72</v>
      </c>
      <c r="D10" s="70">
        <v>530</v>
      </c>
      <c r="E10" s="2">
        <f t="shared" si="0"/>
        <v>390</v>
      </c>
      <c r="F10" s="80">
        <f t="shared" si="1"/>
        <v>1.358974358974359</v>
      </c>
      <c r="H10" s="77" t="s">
        <v>72</v>
      </c>
      <c r="I10" s="80">
        <f>AVERAGE(F10,F14)</f>
        <v>1.2532576712904582</v>
      </c>
      <c r="M10" s="82">
        <v>4</v>
      </c>
      <c r="N10" s="82"/>
    </row>
    <row r="11" spans="2:14" ht="12.75">
      <c r="B11">
        <v>2005</v>
      </c>
      <c r="C11" s="69" t="s">
        <v>70</v>
      </c>
      <c r="D11" s="70">
        <v>520</v>
      </c>
      <c r="E11" s="2">
        <f t="shared" si="0"/>
        <v>445</v>
      </c>
      <c r="F11" s="72">
        <f t="shared" si="1"/>
        <v>1.1685393258426966</v>
      </c>
      <c r="M11" s="82">
        <v>5</v>
      </c>
      <c r="N11" s="82"/>
    </row>
    <row r="12" spans="3:14" ht="12.75">
      <c r="C12" s="69" t="s">
        <v>69</v>
      </c>
      <c r="D12" s="70">
        <v>420</v>
      </c>
      <c r="E12" s="2">
        <f t="shared" si="0"/>
        <v>500</v>
      </c>
      <c r="F12" s="78">
        <f t="shared" si="1"/>
        <v>0.84</v>
      </c>
      <c r="M12" s="82">
        <v>6</v>
      </c>
      <c r="N12" s="82"/>
    </row>
    <row r="13" spans="3:14" ht="12.75">
      <c r="C13" s="69" t="s">
        <v>71</v>
      </c>
      <c r="D13" s="70">
        <v>400</v>
      </c>
      <c r="E13" s="2">
        <f t="shared" si="0"/>
        <v>555</v>
      </c>
      <c r="F13" s="79">
        <f t="shared" si="1"/>
        <v>0.7207207207207207</v>
      </c>
      <c r="M13" s="82">
        <v>7</v>
      </c>
      <c r="N13" s="82"/>
    </row>
    <row r="14" spans="2:14" ht="13.5" thickBot="1">
      <c r="B14" s="74"/>
      <c r="C14" s="74" t="s">
        <v>72</v>
      </c>
      <c r="D14" s="75">
        <v>700</v>
      </c>
      <c r="E14" s="75">
        <f t="shared" si="0"/>
        <v>610</v>
      </c>
      <c r="F14" s="81">
        <f t="shared" si="1"/>
        <v>1.1475409836065573</v>
      </c>
      <c r="M14" s="82">
        <v>8</v>
      </c>
      <c r="N14" s="82"/>
    </row>
    <row r="20" spans="5:6" ht="12.75">
      <c r="E20" s="71"/>
      <c r="F20" s="7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I25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7.00390625" style="0" customWidth="1"/>
    <col min="4" max="4" width="12.00390625" style="0" customWidth="1"/>
    <col min="5" max="6" width="12.8515625" style="0" customWidth="1"/>
    <col min="7" max="7" width="15.7109375" style="0" customWidth="1"/>
    <col min="8" max="8" width="11.28125" style="0" customWidth="1"/>
    <col min="9" max="9" width="13.140625" style="0" customWidth="1"/>
    <col min="13" max="13" width="9.57421875" style="0" bestFit="1" customWidth="1"/>
  </cols>
  <sheetData>
    <row r="2" ht="12.75">
      <c r="B2" s="60" t="s">
        <v>144</v>
      </c>
    </row>
    <row r="3" ht="12.75">
      <c r="B3" s="60"/>
    </row>
    <row r="4" spans="2:9" ht="12.75">
      <c r="B4" s="76"/>
      <c r="C4" s="76"/>
      <c r="D4" s="76"/>
      <c r="E4" s="76"/>
      <c r="F4" s="76"/>
      <c r="G4" s="76"/>
      <c r="H4" s="76"/>
      <c r="I4" s="76"/>
    </row>
    <row r="5" spans="2:9" ht="12.75">
      <c r="B5" s="83" t="s">
        <v>27</v>
      </c>
      <c r="C5" s="83" t="s">
        <v>28</v>
      </c>
      <c r="D5" s="83" t="s">
        <v>29</v>
      </c>
      <c r="E5" s="83" t="s">
        <v>30</v>
      </c>
      <c r="F5" s="84" t="s">
        <v>31</v>
      </c>
      <c r="G5" s="84" t="s">
        <v>32</v>
      </c>
      <c r="H5" s="84" t="s">
        <v>85</v>
      </c>
      <c r="I5" s="84" t="s">
        <v>88</v>
      </c>
    </row>
    <row r="6" spans="4:9" ht="39.75">
      <c r="D6" s="62" t="s">
        <v>73</v>
      </c>
      <c r="E6" s="62" t="s">
        <v>81</v>
      </c>
      <c r="F6" s="62" t="s">
        <v>82</v>
      </c>
      <c r="G6" s="62" t="s">
        <v>83</v>
      </c>
      <c r="H6" s="62" t="s">
        <v>86</v>
      </c>
      <c r="I6" s="62" t="s">
        <v>89</v>
      </c>
    </row>
    <row r="7" spans="2:9" ht="26.25" thickBot="1">
      <c r="B7" s="74" t="s">
        <v>80</v>
      </c>
      <c r="C7" s="75" t="s">
        <v>22</v>
      </c>
      <c r="D7" s="73" t="s">
        <v>79</v>
      </c>
      <c r="E7" s="74"/>
      <c r="F7" s="74"/>
      <c r="G7" s="85" t="s">
        <v>84</v>
      </c>
      <c r="H7" s="75" t="s">
        <v>87</v>
      </c>
      <c r="I7" s="73" t="s">
        <v>90</v>
      </c>
    </row>
    <row r="8" spans="2:9" ht="12.75">
      <c r="B8">
        <v>1</v>
      </c>
      <c r="C8" s="70" t="s">
        <v>70</v>
      </c>
      <c r="D8" s="91">
        <v>600</v>
      </c>
      <c r="E8" s="89">
        <f>AVERAGE(D8,D12,D16)</f>
        <v>2266.6666666666665</v>
      </c>
      <c r="F8" s="72">
        <f>E8/AVERAGE($E$8:$E$11)</f>
        <v>0.815592203898051</v>
      </c>
      <c r="G8" s="89">
        <f>D8/F8</f>
        <v>735.6617647058823</v>
      </c>
      <c r="H8" s="70">
        <f>B8^2</f>
        <v>1</v>
      </c>
      <c r="I8" s="89">
        <f>B8*G8</f>
        <v>735.6617647058823</v>
      </c>
    </row>
    <row r="9" spans="2:9" ht="12.75">
      <c r="B9">
        <v>2</v>
      </c>
      <c r="C9" s="70" t="s">
        <v>69</v>
      </c>
      <c r="D9" s="91">
        <v>1550</v>
      </c>
      <c r="E9" s="89">
        <f>AVERAGE(D9,D13,D17)</f>
        <v>3050</v>
      </c>
      <c r="F9" s="72">
        <f>E9/AVERAGE($E$8:$E$11)</f>
        <v>1.0974512743628186</v>
      </c>
      <c r="G9" s="89">
        <f aca="true" t="shared" si="0" ref="G9:G19">D9/F9</f>
        <v>1412.363387978142</v>
      </c>
      <c r="H9" s="70">
        <f aca="true" t="shared" si="1" ref="H9:H19">B9^2</f>
        <v>4</v>
      </c>
      <c r="I9" s="89">
        <f aca="true" t="shared" si="2" ref="I9:I19">B9*G9</f>
        <v>2824.726775956284</v>
      </c>
    </row>
    <row r="10" spans="2:9" ht="12.75">
      <c r="B10">
        <v>3</v>
      </c>
      <c r="C10" s="70" t="s">
        <v>71</v>
      </c>
      <c r="D10" s="91">
        <v>1500</v>
      </c>
      <c r="E10" s="89">
        <f>AVERAGE(D10,D14,D18)</f>
        <v>2700</v>
      </c>
      <c r="F10" s="72">
        <f>E10/AVERAGE($E$8:$E$11)</f>
        <v>0.9715142428785608</v>
      </c>
      <c r="G10" s="89">
        <f t="shared" si="0"/>
        <v>1543.9814814814813</v>
      </c>
      <c r="H10" s="70">
        <f t="shared" si="1"/>
        <v>9</v>
      </c>
      <c r="I10" s="89">
        <f t="shared" si="2"/>
        <v>4631.944444444443</v>
      </c>
    </row>
    <row r="11" spans="2:9" ht="12.75">
      <c r="B11">
        <v>4</v>
      </c>
      <c r="C11" s="70" t="s">
        <v>72</v>
      </c>
      <c r="D11" s="91">
        <v>1500</v>
      </c>
      <c r="E11" s="89">
        <f>AVERAGE(D11,D15,D19)</f>
        <v>3100</v>
      </c>
      <c r="F11" s="72">
        <f>E11/AVERAGE($E$8:$E$11)</f>
        <v>1.1154422788605698</v>
      </c>
      <c r="G11" s="89">
        <f t="shared" si="0"/>
        <v>1344.758064516129</v>
      </c>
      <c r="H11" s="70">
        <f t="shared" si="1"/>
        <v>16</v>
      </c>
      <c r="I11" s="89">
        <f t="shared" si="2"/>
        <v>5379.032258064516</v>
      </c>
    </row>
    <row r="12" spans="2:9" ht="12.75">
      <c r="B12">
        <v>5</v>
      </c>
      <c r="C12" s="70" t="s">
        <v>70</v>
      </c>
      <c r="D12" s="91">
        <v>2400</v>
      </c>
      <c r="E12" s="2"/>
      <c r="F12" s="72">
        <f>F8</f>
        <v>0.815592203898051</v>
      </c>
      <c r="G12" s="89">
        <f t="shared" si="0"/>
        <v>2942.6470588235293</v>
      </c>
      <c r="H12" s="70">
        <f t="shared" si="1"/>
        <v>25</v>
      </c>
      <c r="I12" s="89">
        <f t="shared" si="2"/>
        <v>14713.235294117647</v>
      </c>
    </row>
    <row r="13" spans="2:9" ht="12.75">
      <c r="B13">
        <v>6</v>
      </c>
      <c r="C13" s="70" t="s">
        <v>69</v>
      </c>
      <c r="D13" s="91">
        <v>3100</v>
      </c>
      <c r="E13" s="2"/>
      <c r="F13" s="72">
        <f aca="true" t="shared" si="3" ref="F13:F19">F9</f>
        <v>1.0974512743628186</v>
      </c>
      <c r="G13" s="89">
        <f t="shared" si="0"/>
        <v>2824.726775956284</v>
      </c>
      <c r="H13" s="70">
        <f t="shared" si="1"/>
        <v>36</v>
      </c>
      <c r="I13" s="89">
        <f t="shared" si="2"/>
        <v>16948.360655737706</v>
      </c>
    </row>
    <row r="14" spans="2:9" ht="12.75">
      <c r="B14">
        <v>7</v>
      </c>
      <c r="C14" s="70" t="s">
        <v>71</v>
      </c>
      <c r="D14" s="91">
        <v>2600</v>
      </c>
      <c r="E14" s="2"/>
      <c r="F14" s="72">
        <f t="shared" si="3"/>
        <v>0.9715142428785608</v>
      </c>
      <c r="G14" s="89">
        <f t="shared" si="0"/>
        <v>2676.234567901234</v>
      </c>
      <c r="H14" s="70">
        <f t="shared" si="1"/>
        <v>49</v>
      </c>
      <c r="I14" s="89">
        <f t="shared" si="2"/>
        <v>18733.641975308637</v>
      </c>
    </row>
    <row r="15" spans="2:9" ht="12.75">
      <c r="B15">
        <v>8</v>
      </c>
      <c r="C15" s="70"/>
      <c r="D15" s="91">
        <v>2900</v>
      </c>
      <c r="E15" s="2"/>
      <c r="F15" s="72">
        <f t="shared" si="3"/>
        <v>1.1154422788605698</v>
      </c>
      <c r="G15" s="89">
        <f t="shared" si="0"/>
        <v>2599.865591397849</v>
      </c>
      <c r="H15" s="70">
        <f t="shared" si="1"/>
        <v>64</v>
      </c>
      <c r="I15" s="89">
        <f t="shared" si="2"/>
        <v>20798.924731182793</v>
      </c>
    </row>
    <row r="16" spans="2:9" ht="12.75">
      <c r="B16">
        <v>9</v>
      </c>
      <c r="C16" s="70"/>
      <c r="D16" s="91">
        <v>3800</v>
      </c>
      <c r="E16" s="2"/>
      <c r="F16" s="72">
        <f>F12</f>
        <v>0.815592203898051</v>
      </c>
      <c r="G16" s="89">
        <f t="shared" si="0"/>
        <v>4659.191176470588</v>
      </c>
      <c r="H16" s="70">
        <f t="shared" si="1"/>
        <v>81</v>
      </c>
      <c r="I16" s="89">
        <f t="shared" si="2"/>
        <v>41932.720588235294</v>
      </c>
    </row>
    <row r="17" spans="2:9" ht="12.75">
      <c r="B17">
        <v>10</v>
      </c>
      <c r="C17" s="70"/>
      <c r="D17" s="91">
        <v>4500</v>
      </c>
      <c r="E17" s="2"/>
      <c r="F17" s="72">
        <f t="shared" si="3"/>
        <v>1.0974512743628186</v>
      </c>
      <c r="G17" s="89">
        <f t="shared" si="0"/>
        <v>4100.4098360655735</v>
      </c>
      <c r="H17" s="70">
        <f t="shared" si="1"/>
        <v>100</v>
      </c>
      <c r="I17" s="89">
        <f t="shared" si="2"/>
        <v>41004.098360655735</v>
      </c>
    </row>
    <row r="18" spans="2:9" ht="12.75">
      <c r="B18">
        <v>11</v>
      </c>
      <c r="C18" s="70"/>
      <c r="D18" s="91">
        <v>4000</v>
      </c>
      <c r="E18" s="2"/>
      <c r="F18" s="72">
        <f t="shared" si="3"/>
        <v>0.9715142428785608</v>
      </c>
      <c r="G18" s="89">
        <f t="shared" si="0"/>
        <v>4117.283950617283</v>
      </c>
      <c r="H18" s="70">
        <f t="shared" si="1"/>
        <v>121</v>
      </c>
      <c r="I18" s="89">
        <f t="shared" si="2"/>
        <v>45290.12345679011</v>
      </c>
    </row>
    <row r="19" spans="2:9" ht="12.75">
      <c r="B19">
        <v>12</v>
      </c>
      <c r="C19" s="70"/>
      <c r="D19" s="91">
        <v>4900</v>
      </c>
      <c r="E19" s="2"/>
      <c r="F19" s="72">
        <f t="shared" si="3"/>
        <v>1.1154422788605698</v>
      </c>
      <c r="G19" s="89">
        <f t="shared" si="0"/>
        <v>4392.876344086021</v>
      </c>
      <c r="H19" s="70">
        <f t="shared" si="1"/>
        <v>144</v>
      </c>
      <c r="I19" s="89">
        <f t="shared" si="2"/>
        <v>52714.51612903226</v>
      </c>
    </row>
    <row r="20" spans="3:9" ht="12.75">
      <c r="C20" s="69"/>
      <c r="D20" s="91"/>
      <c r="E20" s="2"/>
      <c r="F20" s="79"/>
      <c r="G20" s="92"/>
      <c r="I20" s="92"/>
    </row>
    <row r="21" spans="2:9" ht="13.5" thickBot="1">
      <c r="B21" s="74">
        <f>SUM(B8:B19)</f>
        <v>78</v>
      </c>
      <c r="C21" s="74"/>
      <c r="D21" s="90">
        <f>SUM(D8:D19)</f>
        <v>33350</v>
      </c>
      <c r="E21" s="75"/>
      <c r="F21" s="86">
        <f>SUM(F8:F19)</f>
        <v>12</v>
      </c>
      <c r="G21" s="88">
        <f>SUM(G8:G19)</f>
        <v>33350</v>
      </c>
      <c r="H21" s="87">
        <f>SUM(H8:H19)</f>
        <v>650</v>
      </c>
      <c r="I21" s="88">
        <f>SUM(I8:I19)</f>
        <v>265706.98643423134</v>
      </c>
    </row>
    <row r="24" spans="5:6" ht="12.75">
      <c r="E24" s="71"/>
      <c r="F24" s="71"/>
    </row>
    <row r="25" ht="12.75">
      <c r="B25" s="19" t="s">
        <v>145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N3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4" width="15.28125" style="0" customWidth="1"/>
    <col min="5" max="5" width="21.00390625" style="0" customWidth="1"/>
    <col min="6" max="6" width="16.28125" style="0" customWidth="1"/>
    <col min="7" max="7" width="14.57421875" style="0" customWidth="1"/>
    <col min="8" max="10" width="11.7109375" style="0" bestFit="1" customWidth="1"/>
    <col min="11" max="11" width="11.421875" style="0" customWidth="1"/>
    <col min="12" max="12" width="10.28125" style="0" customWidth="1"/>
    <col min="13" max="14" width="9.57421875" style="0" bestFit="1" customWidth="1"/>
  </cols>
  <sheetData>
    <row r="2" ht="12.75">
      <c r="B2" s="19" t="s">
        <v>146</v>
      </c>
    </row>
    <row r="4" spans="2:4" ht="39" thickBot="1">
      <c r="B4" s="1" t="s">
        <v>18</v>
      </c>
      <c r="C4" s="7" t="s">
        <v>19</v>
      </c>
      <c r="D4" s="7" t="s">
        <v>20</v>
      </c>
    </row>
    <row r="5" spans="2:9" ht="12.75">
      <c r="B5" s="2">
        <v>1997</v>
      </c>
      <c r="C5" s="2">
        <v>18</v>
      </c>
      <c r="D5" s="3">
        <v>13000</v>
      </c>
      <c r="F5" s="132" t="s">
        <v>66</v>
      </c>
      <c r="G5" s="133"/>
      <c r="H5" s="133"/>
      <c r="I5" s="133"/>
    </row>
    <row r="6" spans="2:9" ht="12.75">
      <c r="B6" s="2">
        <v>1998</v>
      </c>
      <c r="C6" s="2">
        <v>15</v>
      </c>
      <c r="D6" s="3">
        <v>12000</v>
      </c>
      <c r="F6" s="133"/>
      <c r="G6" s="133"/>
      <c r="H6" s="133"/>
      <c r="I6" s="133"/>
    </row>
    <row r="7" spans="2:9" ht="12.75">
      <c r="B7" s="2">
        <v>1999</v>
      </c>
      <c r="C7" s="2">
        <v>12</v>
      </c>
      <c r="D7" s="3">
        <v>11000</v>
      </c>
      <c r="F7" s="133"/>
      <c r="G7" s="133"/>
      <c r="H7" s="133"/>
      <c r="I7" s="133"/>
    </row>
    <row r="8" spans="2:9" ht="12.75">
      <c r="B8" s="2">
        <v>2000</v>
      </c>
      <c r="C8" s="2">
        <v>10</v>
      </c>
      <c r="D8" s="3">
        <v>10000</v>
      </c>
      <c r="F8" s="133"/>
      <c r="G8" s="133"/>
      <c r="H8" s="133"/>
      <c r="I8" s="133"/>
    </row>
    <row r="9" spans="2:9" ht="12.75">
      <c r="B9" s="2">
        <v>2001</v>
      </c>
      <c r="C9" s="2">
        <v>20</v>
      </c>
      <c r="D9" s="3">
        <v>14000</v>
      </c>
      <c r="F9" s="133"/>
      <c r="G9" s="133"/>
      <c r="H9" s="133"/>
      <c r="I9" s="133"/>
    </row>
    <row r="10" spans="2:9" ht="12.75">
      <c r="B10" s="2">
        <v>2002</v>
      </c>
      <c r="C10" s="2">
        <v>28</v>
      </c>
      <c r="D10" s="3">
        <v>16000</v>
      </c>
      <c r="F10" s="133"/>
      <c r="G10" s="133"/>
      <c r="H10" s="133"/>
      <c r="I10" s="133"/>
    </row>
    <row r="11" spans="2:4" ht="12.75">
      <c r="B11" s="2">
        <v>2003</v>
      </c>
      <c r="C11" s="2">
        <v>35</v>
      </c>
      <c r="D11" s="3">
        <v>19000</v>
      </c>
    </row>
    <row r="12" spans="2:9" ht="12.75">
      <c r="B12" s="2">
        <v>2004</v>
      </c>
      <c r="C12" s="2">
        <v>30</v>
      </c>
      <c r="D12" s="3">
        <v>17000</v>
      </c>
      <c r="F12" s="9"/>
      <c r="G12" s="9"/>
      <c r="H12" s="9"/>
      <c r="I12" s="9"/>
    </row>
    <row r="13" spans="2:9" ht="13.5" thickBot="1">
      <c r="B13" s="5">
        <v>2005</v>
      </c>
      <c r="C13" s="5">
        <v>20</v>
      </c>
      <c r="D13" s="6">
        <v>13000</v>
      </c>
      <c r="F13" s="9"/>
      <c r="G13" s="9"/>
      <c r="H13" s="9"/>
      <c r="I13" s="9"/>
    </row>
    <row r="14" spans="6:9" ht="12.75">
      <c r="F14" s="9"/>
      <c r="G14" s="9"/>
      <c r="H14" s="9"/>
      <c r="I14" s="9"/>
    </row>
    <row r="15" spans="6:9" ht="12.75">
      <c r="F15" s="9"/>
      <c r="G15" s="9"/>
      <c r="H15" s="9"/>
      <c r="I15" s="9"/>
    </row>
    <row r="16" ht="12.75">
      <c r="F16" t="s">
        <v>43</v>
      </c>
    </row>
    <row r="17" ht="13.5" thickBot="1"/>
    <row r="18" spans="6:7" ht="12.75">
      <c r="F18" s="17" t="s">
        <v>44</v>
      </c>
      <c r="G18" s="17"/>
    </row>
    <row r="19" spans="6:7" ht="12.75">
      <c r="F19" s="14" t="s">
        <v>45</v>
      </c>
      <c r="G19" s="14">
        <v>0.9943856824163929</v>
      </c>
    </row>
    <row r="20" spans="6:7" ht="12.75">
      <c r="F20" s="14" t="s">
        <v>46</v>
      </c>
      <c r="G20" s="14">
        <v>0.9888028853947154</v>
      </c>
    </row>
    <row r="21" spans="6:7" ht="12.75">
      <c r="F21" s="14" t="s">
        <v>47</v>
      </c>
      <c r="G21" s="14">
        <v>0.9872032975939604</v>
      </c>
    </row>
    <row r="22" spans="6:7" ht="12.75">
      <c r="F22" s="14" t="s">
        <v>48</v>
      </c>
      <c r="G22" s="14">
        <v>331.95455453153255</v>
      </c>
    </row>
    <row r="23" spans="6:7" ht="13.5" thickBot="1">
      <c r="F23" s="15" t="s">
        <v>49</v>
      </c>
      <c r="G23" s="15">
        <v>9</v>
      </c>
    </row>
    <row r="25" ht="13.5" thickBot="1">
      <c r="F25" t="s">
        <v>50</v>
      </c>
    </row>
    <row r="26" spans="6:11" ht="12.75">
      <c r="F26" s="16"/>
      <c r="G26" s="16" t="s">
        <v>54</v>
      </c>
      <c r="H26" s="16" t="s">
        <v>55</v>
      </c>
      <c r="I26" s="16" t="s">
        <v>56</v>
      </c>
      <c r="J26" s="16" t="s">
        <v>21</v>
      </c>
      <c r="K26" s="16" t="s">
        <v>57</v>
      </c>
    </row>
    <row r="27" spans="6:11" ht="12.75">
      <c r="F27" s="14" t="s">
        <v>51</v>
      </c>
      <c r="G27" s="14">
        <v>1</v>
      </c>
      <c r="H27" s="14">
        <v>68117532.10496928</v>
      </c>
      <c r="I27" s="14">
        <v>68117532.10496928</v>
      </c>
      <c r="J27" s="14">
        <v>618.1610568222949</v>
      </c>
      <c r="K27" s="61">
        <v>4.342137122504833E-08</v>
      </c>
    </row>
    <row r="28" spans="6:11" ht="12.75">
      <c r="F28" s="14" t="s">
        <v>52</v>
      </c>
      <c r="G28" s="14">
        <v>7</v>
      </c>
      <c r="H28" s="14">
        <v>771356.7839195975</v>
      </c>
      <c r="I28" s="14">
        <v>110193.82627422821</v>
      </c>
      <c r="J28" s="14"/>
      <c r="K28" s="14"/>
    </row>
    <row r="29" spans="6:11" ht="13.5" thickBot="1">
      <c r="F29" s="15" t="s">
        <v>53</v>
      </c>
      <c r="G29" s="15">
        <v>8</v>
      </c>
      <c r="H29" s="15">
        <v>68888888.88888888</v>
      </c>
      <c r="I29" s="15"/>
      <c r="J29" s="15"/>
      <c r="K29" s="15"/>
    </row>
    <row r="30" ht="13.5" thickBot="1"/>
    <row r="31" spans="6:14" ht="12.75">
      <c r="F31" s="16"/>
      <c r="G31" s="16" t="s">
        <v>58</v>
      </c>
      <c r="H31" s="16" t="s">
        <v>48</v>
      </c>
      <c r="I31" s="16" t="s">
        <v>59</v>
      </c>
      <c r="J31" s="16" t="s">
        <v>60</v>
      </c>
      <c r="K31" s="16" t="s">
        <v>61</v>
      </c>
      <c r="L31" s="16" t="s">
        <v>62</v>
      </c>
      <c r="M31" s="16" t="s">
        <v>63</v>
      </c>
      <c r="N31" s="16" t="s">
        <v>64</v>
      </c>
    </row>
    <row r="32" spans="6:14" ht="12.75">
      <c r="F32" s="14" t="s">
        <v>23</v>
      </c>
      <c r="G32" s="94">
        <v>6698.492462311549</v>
      </c>
      <c r="H32" s="95">
        <v>309.64791841030683</v>
      </c>
      <c r="I32" s="95">
        <v>21.632609373577452</v>
      </c>
      <c r="J32" s="95">
        <v>1.1374933294580723E-07</v>
      </c>
      <c r="K32" s="95">
        <v>5966.29200878754</v>
      </c>
      <c r="L32" s="95">
        <v>7430.692915835559</v>
      </c>
      <c r="M32" s="95">
        <v>5966.29200878754</v>
      </c>
      <c r="N32" s="95">
        <v>7430.692915835559</v>
      </c>
    </row>
    <row r="33" spans="6:14" ht="13.5" thickBot="1">
      <c r="F33" s="15" t="s">
        <v>65</v>
      </c>
      <c r="G33" s="96">
        <v>344.22110552763854</v>
      </c>
      <c r="H33" s="97">
        <v>13.844799612769881</v>
      </c>
      <c r="I33" s="97">
        <v>24.862844906049993</v>
      </c>
      <c r="J33" s="97">
        <v>4.3421371225048036E-08</v>
      </c>
      <c r="K33" s="97">
        <v>311.4833800248737</v>
      </c>
      <c r="L33" s="97">
        <v>376.95883103040336</v>
      </c>
      <c r="M33" s="97">
        <v>311.4833800248737</v>
      </c>
      <c r="N33" s="97">
        <v>376.95883103040336</v>
      </c>
    </row>
  </sheetData>
  <mergeCells count="1">
    <mergeCell ref="F5:I10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11 - Examples and Exhibits</dc:subject>
  <dc:creator>Daniel J. Bragg</dc:creator>
  <cp:keywords/>
  <dc:description/>
  <cp:lastModifiedBy>Ordonez</cp:lastModifiedBy>
  <cp:lastPrinted>2003-02-27T21:59:21Z</cp:lastPrinted>
  <dcterms:created xsi:type="dcterms:W3CDTF">2002-12-24T17:31:02Z</dcterms:created>
  <dcterms:modified xsi:type="dcterms:W3CDTF">2004-10-01T21:24:46Z</dcterms:modified>
  <cp:category/>
  <cp:version/>
  <cp:contentType/>
  <cp:contentStatus/>
</cp:coreProperties>
</file>