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hibit 14.4-14.6" sheetId="1" r:id="rId1"/>
    <sheet name="Exhibit 14.7-14.10" sheetId="2" r:id="rId2"/>
  </sheets>
  <definedNames>
    <definedName name="_xlnm.Print_Area" localSheetId="0">'Exhibit 14.4-14.6'!$B$4:$I$86</definedName>
  </definedNames>
  <calcPr fullCalcOnLoad="1"/>
</workbook>
</file>

<file path=xl/comments1.xml><?xml version="1.0" encoding="utf-8"?>
<comments xmlns="http://schemas.openxmlformats.org/spreadsheetml/2006/main">
  <authors>
    <author>Daniel J. Bragg</author>
  </authors>
  <commentList>
    <comment ref="B26" authorId="0">
      <text>
        <r>
          <rPr>
            <b/>
            <sz val="8"/>
            <rFont val="Tahoma"/>
            <family val="2"/>
          </rPr>
          <t>Production Requirement</t>
        </r>
        <r>
          <rPr>
            <sz val="8"/>
            <rFont val="Tahoma"/>
            <family val="2"/>
          </rPr>
          <t xml:space="preserve"> equals demand forecast plus safety stock minus beginning inventory</t>
        </r>
      </text>
    </comment>
    <comment ref="B27" authorId="0">
      <text>
        <r>
          <rPr>
            <b/>
            <sz val="8"/>
            <rFont val="Tahoma"/>
            <family val="2"/>
          </rPr>
          <t>Ending Inventory</t>
        </r>
        <r>
          <rPr>
            <sz val="8"/>
            <rFont val="Tahoma"/>
            <family val="0"/>
          </rPr>
          <t xml:space="preserve"> equals beginning inventory plus production requirement minus demand forecast</t>
        </r>
      </text>
    </comment>
    <comment ref="B34" authorId="0">
      <text>
        <r>
          <rPr>
            <b/>
            <sz val="8"/>
            <rFont val="Tahoma"/>
            <family val="0"/>
          </rPr>
          <t>Production Hours Required</t>
        </r>
        <r>
          <rPr>
            <sz val="8"/>
            <rFont val="Tahoma"/>
            <family val="2"/>
          </rPr>
          <t xml:space="preserve"> equals production requirement times 5.0 hours per unit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Hours per Month per Worker</t>
        </r>
        <r>
          <rPr>
            <sz val="8"/>
            <rFont val="Tahoma"/>
            <family val="2"/>
          </rPr>
          <t xml:space="preserve"> equals working days times 8.0 hours per day</t>
        </r>
      </text>
    </comment>
    <comment ref="B37" authorId="0">
      <text>
        <r>
          <rPr>
            <b/>
            <sz val="8"/>
            <rFont val="Tahoma"/>
            <family val="0"/>
          </rPr>
          <t xml:space="preserve">Workers Required </t>
        </r>
        <r>
          <rPr>
            <sz val="8"/>
            <rFont val="Tahoma"/>
            <family val="2"/>
          </rPr>
          <t>equals production hours required divided by hours per month per worker</t>
        </r>
      </text>
    </comment>
    <comment ref="B38" authorId="0">
      <text>
        <r>
          <rPr>
            <b/>
            <sz val="8"/>
            <rFont val="Tahoma"/>
            <family val="0"/>
          </rPr>
          <t xml:space="preserve">New Workers Hired </t>
        </r>
        <r>
          <rPr>
            <sz val="8"/>
            <rFont val="Tahoma"/>
            <family val="2"/>
          </rPr>
          <t>assumes beginning workforce equals 1st month's requirement of 53 workers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0"/>
          </rPr>
          <t>Hiring Cost</t>
        </r>
        <r>
          <rPr>
            <sz val="8"/>
            <rFont val="Tahoma"/>
            <family val="2"/>
          </rPr>
          <t xml:space="preserve"> equals new workers hired times $200 per worker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0"/>
          </rPr>
          <t>Straight Time Cost</t>
        </r>
        <r>
          <rPr>
            <sz val="8"/>
            <rFont val="Tahoma"/>
            <family val="2"/>
          </rPr>
          <t xml:space="preserve"> equals production hours required time $4 per hour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From Exhibit 13.4</t>
        </r>
        <r>
          <rPr>
            <sz val="8"/>
            <rFont val="Tahoma"/>
            <family val="0"/>
          </rPr>
          <t xml:space="preserve">
</t>
        </r>
      </text>
    </comment>
    <comment ref="B57" authorId="0">
      <text>
        <r>
          <rPr>
            <b/>
            <sz val="8"/>
            <rFont val="Tahoma"/>
            <family val="0"/>
          </rPr>
          <t>Straight Time Cost</t>
        </r>
        <r>
          <rPr>
            <sz val="8"/>
            <rFont val="Tahoma"/>
            <family val="2"/>
          </rPr>
          <t xml:space="preserve"> equals production hours required time $4 per hour</t>
        </r>
        <r>
          <rPr>
            <sz val="8"/>
            <rFont val="Tahoma"/>
            <family val="0"/>
          </rPr>
          <t xml:space="preserve">
</t>
        </r>
      </text>
    </comment>
    <comment ref="B84" authorId="0">
      <text>
        <r>
          <rPr>
            <b/>
            <sz val="8"/>
            <rFont val="Tahoma"/>
            <family val="0"/>
          </rPr>
          <t>Straight Time Cost</t>
        </r>
        <r>
          <rPr>
            <sz val="8"/>
            <rFont val="Tahoma"/>
            <family val="2"/>
          </rPr>
          <t xml:space="preserve"> equals production hours required time $4 per hour</t>
        </r>
        <r>
          <rPr>
            <sz val="8"/>
            <rFont val="Tahoma"/>
            <family val="0"/>
          </rPr>
          <t xml:space="preserve">
</t>
        </r>
      </text>
    </comment>
    <comment ref="B68" authorId="0">
      <text>
        <r>
          <rPr>
            <b/>
            <sz val="8"/>
            <rFont val="Tahoma"/>
            <family val="0"/>
          </rPr>
          <t>Straight Time Cost</t>
        </r>
        <r>
          <rPr>
            <sz val="8"/>
            <rFont val="Tahoma"/>
            <family val="2"/>
          </rPr>
          <t xml:space="preserve"> equals production hours required time $4 per hour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<sst xmlns="http://schemas.openxmlformats.org/spreadsheetml/2006/main" count="206" uniqueCount="139">
  <si>
    <t>January</t>
  </si>
  <si>
    <t>February</t>
  </si>
  <si>
    <t>March</t>
  </si>
  <si>
    <t>April</t>
  </si>
  <si>
    <t>May</t>
  </si>
  <si>
    <t>June</t>
  </si>
  <si>
    <t>Demand Forecast</t>
  </si>
  <si>
    <t>Totals</t>
  </si>
  <si>
    <t>Costs</t>
  </si>
  <si>
    <t>Materials</t>
  </si>
  <si>
    <t>Inventory holding cost</t>
  </si>
  <si>
    <t>Marginal cost of stockout</t>
  </si>
  <si>
    <t>Marginal cost of subcontracting</t>
  </si>
  <si>
    <t>Hiring and training cost</t>
  </si>
  <si>
    <t>Layoff cost</t>
  </si>
  <si>
    <t>Straight-line cost (first eight hours each day)</t>
  </si>
  <si>
    <t>Overtime cost (time and a half)</t>
  </si>
  <si>
    <t xml:space="preserve">May </t>
  </si>
  <si>
    <t>Beginning Inventory</t>
  </si>
  <si>
    <r>
      <t>Safety Stock</t>
    </r>
    <r>
      <rPr>
        <sz val="10"/>
        <rFont val="Arial"/>
        <family val="0"/>
      </rPr>
      <t xml:space="preserve"> (.25 x Demand Forecast)</t>
    </r>
  </si>
  <si>
    <t>Working Days per Month</t>
  </si>
  <si>
    <t>Workers Laid Off</t>
  </si>
  <si>
    <r>
      <t>Layoff Cost</t>
    </r>
    <r>
      <rPr>
        <sz val="10"/>
        <rFont val="Arial"/>
        <family val="0"/>
      </rPr>
      <t xml:space="preserve"> (Workers Laid Off x $250)</t>
    </r>
  </si>
  <si>
    <t>Total</t>
  </si>
  <si>
    <t>Total Cost</t>
  </si>
  <si>
    <t>Production Plan 2:  Constant Workforce; Vary Inventory and Stockout</t>
  </si>
  <si>
    <t>Production Plan 1:  Exact Production; Vary Workforce</t>
  </si>
  <si>
    <t>Production Plan 3:  Constant Low Workforce; Subcontract</t>
  </si>
  <si>
    <t>Working Day per Month</t>
  </si>
  <si>
    <r>
      <t xml:space="preserve">Production Hours Available </t>
    </r>
    <r>
      <rPr>
        <sz val="10"/>
        <rFont val="Arial"/>
        <family val="2"/>
      </rPr>
      <t>(Working Day x 8 Hrs./Day x 25 Workers)*</t>
    </r>
  </si>
  <si>
    <r>
      <t xml:space="preserve">Actual Production </t>
    </r>
    <r>
      <rPr>
        <sz val="10"/>
        <rFont val="Arial"/>
        <family val="2"/>
      </rPr>
      <t>(Production Hours Available/5 hr.per Unit)</t>
    </r>
  </si>
  <si>
    <r>
      <t>Units Subcontracted</t>
    </r>
    <r>
      <rPr>
        <sz val="10"/>
        <rFont val="Arial"/>
        <family val="2"/>
      </rPr>
      <t xml:space="preserve"> (Production Requirement - Actual Production)</t>
    </r>
  </si>
  <si>
    <r>
      <t>Subcontracting Cost</t>
    </r>
    <r>
      <rPr>
        <sz val="10"/>
        <rFont val="Arial"/>
        <family val="2"/>
      </rPr>
      <t xml:space="preserve"> (Units Subcontracted x $20)</t>
    </r>
  </si>
  <si>
    <t>*Minimum production requirement.  In this example, April is minimum of 850 units. Number of workers required for April is (850 x 5)/(21 x 8) = 25</t>
  </si>
  <si>
    <t>Production Plan 4:  Constant Workforce; Overtime</t>
  </si>
  <si>
    <t>Units Overtime</t>
  </si>
  <si>
    <r>
      <t>Inventory Cost</t>
    </r>
    <r>
      <rPr>
        <sz val="10"/>
        <rFont val="Arial"/>
        <family val="2"/>
      </rPr>
      <t xml:space="preserve"> (Units Excessive x $1.50)</t>
    </r>
  </si>
  <si>
    <t>Cost</t>
  </si>
  <si>
    <t>Plan 1</t>
  </si>
  <si>
    <t>Plan 2</t>
  </si>
  <si>
    <t>Plan 3</t>
  </si>
  <si>
    <t>Plan 4</t>
  </si>
  <si>
    <t>Hiring</t>
  </si>
  <si>
    <t>Layoff</t>
  </si>
  <si>
    <t>Excess inventory</t>
  </si>
  <si>
    <t>Shortage</t>
  </si>
  <si>
    <t>Subconstract</t>
  </si>
  <si>
    <t>Overtime</t>
  </si>
  <si>
    <t>Straight time</t>
  </si>
  <si>
    <t>Feb.</t>
  </si>
  <si>
    <t>Jan.</t>
  </si>
  <si>
    <t>Mar.</t>
  </si>
  <si>
    <t>Apr.</t>
  </si>
  <si>
    <t>Jun</t>
  </si>
  <si>
    <t>Jul</t>
  </si>
  <si>
    <t>Aug</t>
  </si>
  <si>
    <t>Sep</t>
  </si>
  <si>
    <t>Oct</t>
  </si>
  <si>
    <t>Nov</t>
  </si>
  <si>
    <t>Dec</t>
  </si>
  <si>
    <t>Days</t>
  </si>
  <si>
    <t>Full-time employees</t>
  </si>
  <si>
    <t>Full-time days*</t>
  </si>
  <si>
    <t>Full-time-equivalent part-time employees</t>
  </si>
  <si>
    <t>FTE days</t>
  </si>
  <si>
    <t>* Full-time Days are derived by multiplying the number of days in each month by the number of workers.</t>
  </si>
  <si>
    <t xml:space="preserve"> </t>
  </si>
  <si>
    <t>year. Continue to use 120 full-time-equivalent (FTE) part-time employees to meet high demand periods.</t>
  </si>
  <si>
    <t xml:space="preserve">Costs </t>
  </si>
  <si>
    <t>116 full-time regular employees</t>
  </si>
  <si>
    <t>120 part-time employees</t>
  </si>
  <si>
    <t>Total cost = $2,751,619</t>
  </si>
  <si>
    <t>Subcontract Cost</t>
  </si>
  <si>
    <t>50 full-time employees</t>
  </si>
  <si>
    <t xml:space="preserve">120 FTE part-time employees </t>
  </si>
  <si>
    <t>Subconstracting Cost</t>
  </si>
  <si>
    <t>Total Cost = $3,040,443</t>
  </si>
  <si>
    <t>Subcontract all jobs previously performed by 120 full-time-equivalent part-time employees. Subcontract cost $1,850,000</t>
  </si>
  <si>
    <t>releasing 66 full-time regular employees. Subcontract cost, $1,100,000</t>
  </si>
  <si>
    <t>0 full-time employees</t>
  </si>
  <si>
    <t>0 part-time employees</t>
  </si>
  <si>
    <t>Subcontract full-time jobs</t>
  </si>
  <si>
    <t>Subcontract part-time jobs</t>
  </si>
  <si>
    <t>Wages</t>
  </si>
  <si>
    <t>Fringe Benefits</t>
  </si>
  <si>
    <t>Administrative costs</t>
  </si>
  <si>
    <t>Subcontracting, full-time jobs</t>
  </si>
  <si>
    <t>Subcontracting, part-time jobs</t>
  </si>
  <si>
    <t>-</t>
  </si>
  <si>
    <t>Production Requirement</t>
  </si>
  <si>
    <t>Ending Inventory</t>
  </si>
  <si>
    <t>Production Hours Required</t>
  </si>
  <si>
    <r>
      <t>Hours per Month per Worke</t>
    </r>
    <r>
      <rPr>
        <sz val="10"/>
        <rFont val="Arial"/>
        <family val="0"/>
      </rPr>
      <t>r</t>
    </r>
  </si>
  <si>
    <t>Workers Required</t>
  </si>
  <si>
    <t>New Workers Hired</t>
  </si>
  <si>
    <t>Hiring Cost</t>
  </si>
  <si>
    <t>Straight Time Cost</t>
  </si>
  <si>
    <t>Labor hours required per unit</t>
  </si>
  <si>
    <t>Number of Working Days by Month</t>
  </si>
  <si>
    <t>$ per unit</t>
  </si>
  <si>
    <t>$ per unit per month</t>
  </si>
  <si>
    <t>$ per unit ($120 less $100 material cost)</t>
  </si>
  <si>
    <t>$ per worker</t>
  </si>
  <si>
    <t>$ per hour</t>
  </si>
  <si>
    <r>
      <t>Units Available before Overtime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(Beginning Inventory + Regular Shift Production - Demand Forecast)</t>
    </r>
  </si>
  <si>
    <r>
      <t>Regular Shift Production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(Production Hours Available / 5 hrs. per Unit)</t>
    </r>
  </si>
  <si>
    <r>
      <t>Production Hours Available</t>
    </r>
    <r>
      <rPr>
        <sz val="9"/>
        <rFont val="Arial"/>
        <family val="2"/>
      </rPr>
      <t xml:space="preserve"> (Working Days x 8 Hr./Day x 38 Workers)</t>
    </r>
  </si>
  <si>
    <r>
      <t>Overtime Cost</t>
    </r>
    <r>
      <rPr>
        <sz val="9"/>
        <rFont val="Arial"/>
        <family val="2"/>
      </rPr>
      <t xml:space="preserve"> (Units Overtime x $6/Hr x 5 hr./Unit)</t>
    </r>
  </si>
  <si>
    <r>
      <t>Units Excessive</t>
    </r>
    <r>
      <rPr>
        <sz val="9"/>
        <rFont val="Arial"/>
        <family val="2"/>
      </rPr>
      <t xml:space="preserve"> (Units Available before Overtime - Safety Stock)</t>
    </r>
  </si>
  <si>
    <r>
      <t>Production Hours Available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(Working Days per Month x 8 Hr./Day x 40 Workers)*</t>
    </r>
  </si>
  <si>
    <r>
      <t>Actual Production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(Production Hours Available/5 Hr./Unit)</t>
    </r>
  </si>
  <si>
    <r>
      <t>Ending Inventory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(Beginning Inventory + Actual Production - Demand Forecast)</t>
    </r>
  </si>
  <si>
    <r>
      <t>Shortage Cost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(Units Short x $5)</t>
    </r>
  </si>
  <si>
    <r>
      <t>Units Excess</t>
    </r>
    <r>
      <rPr>
        <sz val="9"/>
        <rFont val="Arial"/>
        <family val="2"/>
      </rPr>
      <t xml:space="preserve"> (Ending Inventory - Safety Stock)</t>
    </r>
  </si>
  <si>
    <r>
      <t>Inventory Cost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(Units Excess x $1.50)</t>
    </r>
  </si>
  <si>
    <r>
      <t>Alternative 1</t>
    </r>
    <r>
      <rPr>
        <sz val="10"/>
        <rFont val="Arial"/>
        <family val="0"/>
      </rPr>
      <t>: Maintain 116 full-time regular direct workers, Schedule work during off-seasons to level workload throught the</t>
    </r>
  </si>
  <si>
    <t>Days per Year
(Exhibit 14.8)</t>
  </si>
  <si>
    <t>Hours (Employees x Days x 8 hours)</t>
  </si>
  <si>
    <t xml:space="preserve">Wages
(FT, $4.45; PT, $4.03)  </t>
  </si>
  <si>
    <t>Fringe Benefits
(FT, 17%; PT, 11%)</t>
  </si>
  <si>
    <t>Adm. Cost
(FT, 20%; PT, 25%)</t>
  </si>
  <si>
    <r>
      <t>Alternative 2</t>
    </r>
    <r>
      <rPr>
        <sz val="10"/>
        <rFont val="Arial"/>
        <family val="0"/>
      </rPr>
      <t>: Maintain 50 full-time regular direct workers and the present 120 FTE part-time employees. Subcontract jobs</t>
    </r>
  </si>
  <si>
    <r>
      <t xml:space="preserve">Alternative 3: </t>
    </r>
    <r>
      <rPr>
        <sz val="10"/>
        <rFont val="Arial"/>
        <family val="0"/>
      </rPr>
      <t>Subcontract all jobs previously by 116 full-time regular employees. Subcontract cost $ 1,600,000.</t>
    </r>
  </si>
  <si>
    <r>
      <t xml:space="preserve">Alternative 1: </t>
    </r>
    <r>
      <rPr>
        <sz val="10"/>
        <rFont val="Arial"/>
        <family val="0"/>
      </rPr>
      <t>116 Full-Time Direct Labor Employees, 120 Full-Time Equivalent Part-Time Employees</t>
    </r>
  </si>
  <si>
    <r>
      <t>Alternative 2:</t>
    </r>
    <r>
      <rPr>
        <sz val="10"/>
        <rFont val="Arial"/>
        <family val="0"/>
      </rPr>
      <t xml:space="preserve"> 50 Full-Time Direct Labor Employees, 120 Full-Time Equivalent Part-Time Employees, Subcontracting</t>
    </r>
  </si>
  <si>
    <r>
      <t>Alternative 3:</t>
    </r>
    <r>
      <rPr>
        <sz val="10"/>
        <rFont val="Arial"/>
        <family val="0"/>
      </rPr>
      <t xml:space="preserve"> Subcontracting Jobs Formerly Performed by 116 Direct Labor Full-Time Employees and 120 FTE Part-Time Employees</t>
    </r>
  </si>
  <si>
    <t>Exhibit 14.6 Comparison of Four Plans</t>
  </si>
  <si>
    <t>Exhibit 14.4 to 14.6</t>
  </si>
  <si>
    <t>Exhibit 14.4 Aggregate Production Planning Requirements</t>
  </si>
  <si>
    <t>Exhibit 14.5 Costs of Four Production Plans</t>
  </si>
  <si>
    <t>Exhibit 14.7 Actual Demand Requirement for Full-Time Direct Employees and Full-Time-Equivalent (FTE) Part-Time Employees</t>
  </si>
  <si>
    <t>Exhibit 14.8 Monthly Requirement for Full-Time Direct-Labor Employees (Other than Key Personnel) and Full-Time-Equivalent Part-Time Employees</t>
  </si>
  <si>
    <t>Exhibit 14.9 Three Possible Plans for the Parks and Recreation Department</t>
  </si>
  <si>
    <r>
      <t xml:space="preserve">Demand Forecast </t>
    </r>
    <r>
      <rPr>
        <sz val="10"/>
        <rFont val="Arial"/>
        <family val="2"/>
      </rPr>
      <t>(From Exhibit 14.4)</t>
    </r>
  </si>
  <si>
    <r>
      <t>Safety Stock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(From Exhibit 14.4)</t>
    </r>
  </si>
  <si>
    <t>*(Sum of Production Requirement in Exhibit 14.4 x 5 hr./unit)/(Sum of Production Hours Available x 8 hr./day) = (8,000 x 5)/(125 x 8) = 40</t>
  </si>
  <si>
    <r>
      <t>Demand Forecast</t>
    </r>
    <r>
      <rPr>
        <sz val="10"/>
        <rFont val="Arial"/>
        <family val="2"/>
      </rPr>
      <t xml:space="preserve"> (From Exhibit 14.4)</t>
    </r>
  </si>
  <si>
    <r>
      <t>Safety Stock</t>
    </r>
    <r>
      <rPr>
        <sz val="10"/>
        <rFont val="Arial"/>
        <family val="2"/>
      </rPr>
      <t xml:space="preserve"> (From Exhibit 14.4)</t>
    </r>
  </si>
  <si>
    <t>Exhibit 14.10 Comparison of Costs for All Three Alternatives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</si>
</sst>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  <numFmt numFmtId="166" formatCode="&quot;$&quot;#,##0.00"/>
    <numFmt numFmtId="167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.75"/>
      <name val="Arial"/>
      <family val="2"/>
    </font>
    <font>
      <sz val="15.75"/>
      <name val="Arial"/>
      <family val="0"/>
    </font>
    <font>
      <sz val="9.25"/>
      <name val="Arial"/>
      <family val="2"/>
    </font>
    <font>
      <b/>
      <sz val="9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" fontId="0" fillId="0" borderId="3" xfId="0" applyNumberFormat="1" applyFill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right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167" fontId="0" fillId="0" borderId="0" xfId="0" applyNumberFormat="1" applyAlignment="1">
      <alignment vertical="center"/>
    </xf>
    <xf numFmtId="0" fontId="1" fillId="0" borderId="0" xfId="0" applyFont="1" applyAlignment="1" quotePrefix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Alignment="1">
      <alignment/>
    </xf>
    <xf numFmtId="0" fontId="1" fillId="0" borderId="4" xfId="0" applyFont="1" applyFill="1" applyBorder="1" applyAlignment="1">
      <alignment horizontal="right" vertical="justify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textRotation="90" wrapText="1"/>
    </xf>
    <xf numFmtId="6" fontId="0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32"/>
          <c:w val="0.93575"/>
          <c:h val="0.839"/>
        </c:manualLayout>
      </c:layout>
      <c:lineChart>
        <c:grouping val="standard"/>
        <c:varyColors val="0"/>
        <c:ser>
          <c:idx val="0"/>
          <c:order val="0"/>
          <c:tx>
            <c:v>PTE part-time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'Exhibit 14.7-14.10'!$C$5:$N$5</c:f>
              <c:strCache/>
            </c:strRef>
          </c:cat>
          <c:val>
            <c:numRef>
              <c:f>'Exhibit 14.7-14.10'!$C$7:$N$7</c:f>
              <c:numCache/>
            </c:numRef>
          </c:val>
          <c:smooth val="0"/>
        </c:ser>
        <c:ser>
          <c:idx val="1"/>
          <c:order val="1"/>
          <c:tx>
            <c:v>Full-time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'Exhibit 14.7-14.10'!$C$5:$N$5</c:f>
              <c:strCache/>
            </c:strRef>
          </c:cat>
          <c:val>
            <c:numRef>
              <c:f>'Exhibit 14.7-14.10'!$C$9:$N$9</c:f>
              <c:numCache/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Full-time equivalent employees required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93886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425"/>
          <c:y val="0.925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142875</xdr:rowOff>
    </xdr:from>
    <xdr:to>
      <xdr:col>6</xdr:col>
      <xdr:colOff>180975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28650" y="3086100"/>
        <a:ext cx="56959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1.00390625" style="0" customWidth="1"/>
    <col min="3" max="9" width="9.7109375" style="0" customWidth="1"/>
  </cols>
  <sheetData>
    <row r="2" ht="12.75">
      <c r="B2" s="34" t="s">
        <v>127</v>
      </c>
    </row>
    <row r="4" spans="2:9" ht="12.75">
      <c r="B4" s="65"/>
      <c r="C4" s="66" t="s">
        <v>0</v>
      </c>
      <c r="D4" s="66" t="s">
        <v>1</v>
      </c>
      <c r="E4" s="66" t="s">
        <v>2</v>
      </c>
      <c r="F4" s="66" t="s">
        <v>3</v>
      </c>
      <c r="G4" s="66" t="s">
        <v>4</v>
      </c>
      <c r="H4" s="66" t="s">
        <v>5</v>
      </c>
      <c r="I4" s="66" t="s">
        <v>7</v>
      </c>
    </row>
    <row r="5" spans="2:9" ht="12.75">
      <c r="B5" s="2" t="s">
        <v>18</v>
      </c>
      <c r="C5" s="29">
        <v>400</v>
      </c>
      <c r="D5" s="29">
        <v>450</v>
      </c>
      <c r="E5" s="29">
        <v>375</v>
      </c>
      <c r="F5" s="29">
        <v>275</v>
      </c>
      <c r="G5" s="29">
        <v>225</v>
      </c>
      <c r="H5" s="29">
        <v>275</v>
      </c>
      <c r="I5" s="29"/>
    </row>
    <row r="6" spans="2:9" ht="12.75">
      <c r="B6" s="3" t="s">
        <v>6</v>
      </c>
      <c r="C6" s="2">
        <v>1800</v>
      </c>
      <c r="D6" s="2">
        <v>1500</v>
      </c>
      <c r="E6" s="2">
        <v>1100</v>
      </c>
      <c r="F6" s="2">
        <v>900</v>
      </c>
      <c r="G6" s="2">
        <v>1100</v>
      </c>
      <c r="H6" s="2">
        <v>1600</v>
      </c>
      <c r="I6" s="2">
        <f>SUM(C6:H6)</f>
        <v>8000</v>
      </c>
    </row>
    <row r="7" spans="2:9" ht="12.75">
      <c r="B7" s="3" t="s">
        <v>98</v>
      </c>
      <c r="C7" s="2">
        <v>22</v>
      </c>
      <c r="D7" s="2">
        <v>19</v>
      </c>
      <c r="E7" s="2">
        <v>21</v>
      </c>
      <c r="F7" s="2">
        <v>21</v>
      </c>
      <c r="G7" s="2">
        <v>22</v>
      </c>
      <c r="H7" s="2">
        <v>20</v>
      </c>
      <c r="I7" s="2">
        <f>SUM(C7:H7)</f>
        <v>125</v>
      </c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1" t="s">
        <v>8</v>
      </c>
      <c r="C9" s="2"/>
      <c r="D9" s="2"/>
      <c r="E9" s="2"/>
      <c r="F9" s="2"/>
      <c r="G9" s="2"/>
      <c r="H9" s="2"/>
      <c r="I9" s="2"/>
    </row>
    <row r="10" spans="2:9" ht="12.75">
      <c r="B10" s="28" t="s">
        <v>9</v>
      </c>
      <c r="C10" s="27">
        <v>100</v>
      </c>
      <c r="D10" s="31" t="s">
        <v>99</v>
      </c>
      <c r="E10" s="2"/>
      <c r="F10" s="2"/>
      <c r="G10" s="2"/>
      <c r="H10" s="2"/>
      <c r="I10" s="2"/>
    </row>
    <row r="11" spans="2:9" ht="12.75">
      <c r="B11" s="28" t="s">
        <v>10</v>
      </c>
      <c r="C11" s="27">
        <v>1.5</v>
      </c>
      <c r="D11" s="31" t="s">
        <v>100</v>
      </c>
      <c r="E11" s="2"/>
      <c r="F11" s="2"/>
      <c r="G11" s="2"/>
      <c r="H11" s="2"/>
      <c r="I11" s="2"/>
    </row>
    <row r="12" spans="2:9" ht="12.75">
      <c r="B12" s="28" t="s">
        <v>11</v>
      </c>
      <c r="C12" s="27">
        <v>5</v>
      </c>
      <c r="D12" s="31" t="s">
        <v>100</v>
      </c>
      <c r="E12" s="2"/>
      <c r="F12" s="2"/>
      <c r="G12" s="2"/>
      <c r="H12" s="2"/>
      <c r="I12" s="2"/>
    </row>
    <row r="13" spans="2:9" ht="12.75">
      <c r="B13" s="28" t="s">
        <v>12</v>
      </c>
      <c r="C13" s="27">
        <v>20</v>
      </c>
      <c r="D13" s="31" t="s">
        <v>101</v>
      </c>
      <c r="E13" s="2"/>
      <c r="F13" s="2"/>
      <c r="G13" s="2"/>
      <c r="H13" s="2"/>
      <c r="I13" s="2"/>
    </row>
    <row r="14" spans="2:9" ht="12.75">
      <c r="B14" s="28" t="s">
        <v>13</v>
      </c>
      <c r="C14" s="27">
        <v>200</v>
      </c>
      <c r="D14" s="31" t="s">
        <v>102</v>
      </c>
      <c r="E14" s="2"/>
      <c r="F14" s="2"/>
      <c r="G14" s="2"/>
      <c r="H14" s="2"/>
      <c r="I14" s="2"/>
    </row>
    <row r="15" spans="2:9" ht="12.75">
      <c r="B15" s="28" t="s">
        <v>14</v>
      </c>
      <c r="C15" s="27">
        <v>250</v>
      </c>
      <c r="D15" s="31" t="s">
        <v>102</v>
      </c>
      <c r="E15" s="2"/>
      <c r="F15" s="2"/>
      <c r="G15" s="2"/>
      <c r="H15" s="2"/>
      <c r="I15" s="2"/>
    </row>
    <row r="16" spans="2:9" ht="12.75">
      <c r="B16" s="28" t="s">
        <v>97</v>
      </c>
      <c r="C16" s="30">
        <v>5</v>
      </c>
      <c r="D16" s="31" t="s">
        <v>99</v>
      </c>
      <c r="E16" s="2"/>
      <c r="F16" s="2"/>
      <c r="G16" s="2"/>
      <c r="H16" s="2"/>
      <c r="I16" s="2"/>
    </row>
    <row r="17" spans="2:9" ht="25.5">
      <c r="B17" s="28" t="s">
        <v>15</v>
      </c>
      <c r="C17" s="27">
        <v>4</v>
      </c>
      <c r="D17" s="31" t="s">
        <v>103</v>
      </c>
      <c r="E17" s="2"/>
      <c r="F17" s="2"/>
      <c r="G17" s="2"/>
      <c r="H17" s="2"/>
      <c r="I17" s="2"/>
    </row>
    <row r="18" spans="2:9" ht="12.75">
      <c r="B18" s="28" t="s">
        <v>16</v>
      </c>
      <c r="C18" s="27">
        <v>6</v>
      </c>
      <c r="D18" s="31" t="s">
        <v>103</v>
      </c>
      <c r="E18" s="2"/>
      <c r="F18" s="2"/>
      <c r="G18" s="2"/>
      <c r="H18" s="2"/>
      <c r="I18" s="2"/>
    </row>
    <row r="19" spans="2:9" ht="12.75">
      <c r="B19" s="2"/>
      <c r="C19" s="2"/>
      <c r="D19" s="2"/>
      <c r="E19" s="2"/>
      <c r="F19" s="2"/>
      <c r="G19" s="2"/>
      <c r="H19" s="2"/>
      <c r="I19" s="2"/>
    </row>
    <row r="20" spans="2:9" ht="12.75">
      <c r="B20" s="67" t="s">
        <v>128</v>
      </c>
      <c r="C20" s="68"/>
      <c r="D20" s="68"/>
      <c r="E20" s="2"/>
      <c r="F20" s="2"/>
      <c r="G20" s="2"/>
      <c r="H20" s="2"/>
      <c r="I20" s="2"/>
    </row>
    <row r="21" spans="2:9" ht="12.75">
      <c r="B21" s="4"/>
      <c r="C21" s="2"/>
      <c r="D21" s="2"/>
      <c r="E21" s="2"/>
      <c r="F21" s="2"/>
      <c r="G21" s="2"/>
      <c r="H21" s="2"/>
      <c r="I21" s="2"/>
    </row>
    <row r="22" spans="2:9" ht="12.75">
      <c r="B22" s="65"/>
      <c r="C22" s="66" t="s">
        <v>0</v>
      </c>
      <c r="D22" s="66" t="s">
        <v>1</v>
      </c>
      <c r="E22" s="66" t="s">
        <v>2</v>
      </c>
      <c r="F22" s="66" t="s">
        <v>3</v>
      </c>
      <c r="G22" s="66" t="s">
        <v>17</v>
      </c>
      <c r="H22" s="66" t="s">
        <v>5</v>
      </c>
      <c r="I22" s="2"/>
    </row>
    <row r="23" spans="2:9" ht="12.75">
      <c r="B23" s="1" t="s">
        <v>18</v>
      </c>
      <c r="C23" s="5">
        <v>400</v>
      </c>
      <c r="D23" s="5">
        <f>+C27</f>
        <v>450</v>
      </c>
      <c r="E23" s="5">
        <f>+D27</f>
        <v>375</v>
      </c>
      <c r="F23" s="5">
        <f>+E27</f>
        <v>275</v>
      </c>
      <c r="G23" s="5">
        <f>+F27</f>
        <v>225</v>
      </c>
      <c r="H23" s="5">
        <f>+G27</f>
        <v>275</v>
      </c>
      <c r="I23" s="2"/>
    </row>
    <row r="24" spans="2:9" ht="12.75">
      <c r="B24" s="1" t="s">
        <v>6</v>
      </c>
      <c r="C24" s="5">
        <f aca="true" t="shared" si="0" ref="C24:H24">C6</f>
        <v>1800</v>
      </c>
      <c r="D24" s="5">
        <f t="shared" si="0"/>
        <v>1500</v>
      </c>
      <c r="E24" s="5">
        <f t="shared" si="0"/>
        <v>1100</v>
      </c>
      <c r="F24" s="5">
        <f t="shared" si="0"/>
        <v>900</v>
      </c>
      <c r="G24" s="5">
        <f t="shared" si="0"/>
        <v>1100</v>
      </c>
      <c r="H24" s="5">
        <f t="shared" si="0"/>
        <v>1600</v>
      </c>
      <c r="I24" s="2"/>
    </row>
    <row r="25" spans="2:9" ht="25.5">
      <c r="B25" s="1" t="s">
        <v>19</v>
      </c>
      <c r="C25" s="5">
        <f aca="true" t="shared" si="1" ref="C25:H25">0.25*C24</f>
        <v>450</v>
      </c>
      <c r="D25" s="5">
        <f t="shared" si="1"/>
        <v>375</v>
      </c>
      <c r="E25" s="5">
        <f t="shared" si="1"/>
        <v>275</v>
      </c>
      <c r="F25" s="5">
        <f t="shared" si="1"/>
        <v>225</v>
      </c>
      <c r="G25" s="5">
        <f t="shared" si="1"/>
        <v>275</v>
      </c>
      <c r="H25" s="5">
        <f t="shared" si="1"/>
        <v>400</v>
      </c>
      <c r="I25" s="2"/>
    </row>
    <row r="26" spans="2:9" ht="12.75">
      <c r="B26" s="1" t="s">
        <v>89</v>
      </c>
      <c r="C26" s="5">
        <f aca="true" t="shared" si="2" ref="C26:H26">+C24+C25-C23</f>
        <v>1850</v>
      </c>
      <c r="D26" s="5">
        <f t="shared" si="2"/>
        <v>1425</v>
      </c>
      <c r="E26" s="5">
        <f t="shared" si="2"/>
        <v>1000</v>
      </c>
      <c r="F26" s="5">
        <f t="shared" si="2"/>
        <v>850</v>
      </c>
      <c r="G26" s="5">
        <f t="shared" si="2"/>
        <v>1150</v>
      </c>
      <c r="H26" s="5">
        <f t="shared" si="2"/>
        <v>1725</v>
      </c>
      <c r="I26" s="2"/>
    </row>
    <row r="27" spans="2:9" ht="12.75">
      <c r="B27" s="1" t="s">
        <v>90</v>
      </c>
      <c r="C27" s="5">
        <f aca="true" t="shared" si="3" ref="C27:H27">+C23+C26-C24</f>
        <v>450</v>
      </c>
      <c r="D27" s="5">
        <f t="shared" si="3"/>
        <v>375</v>
      </c>
      <c r="E27" s="5">
        <f t="shared" si="3"/>
        <v>275</v>
      </c>
      <c r="F27" s="5">
        <f t="shared" si="3"/>
        <v>225</v>
      </c>
      <c r="G27" s="5">
        <f t="shared" si="3"/>
        <v>275</v>
      </c>
      <c r="H27" s="5">
        <f t="shared" si="3"/>
        <v>400</v>
      </c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4" t="s">
        <v>129</v>
      </c>
      <c r="C29" s="2"/>
      <c r="D29" s="2"/>
      <c r="E29" s="2"/>
      <c r="F29" s="2"/>
      <c r="G29" s="2"/>
      <c r="H29" s="2"/>
      <c r="I29" s="2"/>
    </row>
    <row r="30" spans="2:9" ht="13.5" thickBot="1">
      <c r="B30" s="69"/>
      <c r="C30" s="70"/>
      <c r="D30" s="70"/>
      <c r="E30" s="70"/>
      <c r="F30" s="70"/>
      <c r="G30" s="70"/>
      <c r="H30" s="70"/>
      <c r="I30" s="70"/>
    </row>
    <row r="31" spans="2:9" ht="12.75">
      <c r="B31" s="71" t="s">
        <v>26</v>
      </c>
      <c r="C31" s="72"/>
      <c r="D31" s="72"/>
      <c r="E31" s="72"/>
      <c r="F31" s="72"/>
      <c r="G31" s="72"/>
      <c r="H31" s="72"/>
      <c r="I31" s="72"/>
    </row>
    <row r="32" spans="2:9" ht="12.75">
      <c r="B32" s="65"/>
      <c r="C32" s="66" t="s">
        <v>0</v>
      </c>
      <c r="D32" s="66" t="s">
        <v>1</v>
      </c>
      <c r="E32" s="66" t="s">
        <v>2</v>
      </c>
      <c r="F32" s="66" t="s">
        <v>3</v>
      </c>
      <c r="G32" s="66" t="s">
        <v>4</v>
      </c>
      <c r="H32" s="66" t="s">
        <v>5</v>
      </c>
      <c r="I32" s="66" t="s">
        <v>23</v>
      </c>
    </row>
    <row r="33" spans="2:9" ht="12.75">
      <c r="B33" s="1" t="s">
        <v>89</v>
      </c>
      <c r="C33" s="5">
        <f aca="true" t="shared" si="4" ref="C33:H33">+C26</f>
        <v>1850</v>
      </c>
      <c r="D33" s="5">
        <f t="shared" si="4"/>
        <v>1425</v>
      </c>
      <c r="E33" s="5">
        <f t="shared" si="4"/>
        <v>1000</v>
      </c>
      <c r="F33" s="5">
        <f t="shared" si="4"/>
        <v>850</v>
      </c>
      <c r="G33" s="5">
        <f t="shared" si="4"/>
        <v>1150</v>
      </c>
      <c r="H33" s="5">
        <f t="shared" si="4"/>
        <v>1725</v>
      </c>
      <c r="I33" s="2"/>
    </row>
    <row r="34" spans="2:9" ht="12.75">
      <c r="B34" s="1" t="s">
        <v>91</v>
      </c>
      <c r="C34" s="5">
        <f aca="true" t="shared" si="5" ref="C34:H34">+C33*5</f>
        <v>9250</v>
      </c>
      <c r="D34" s="5">
        <f t="shared" si="5"/>
        <v>7125</v>
      </c>
      <c r="E34" s="5">
        <f t="shared" si="5"/>
        <v>5000</v>
      </c>
      <c r="F34" s="5">
        <f t="shared" si="5"/>
        <v>4250</v>
      </c>
      <c r="G34" s="5">
        <f t="shared" si="5"/>
        <v>5750</v>
      </c>
      <c r="H34" s="5">
        <f t="shared" si="5"/>
        <v>8625</v>
      </c>
      <c r="I34" s="2"/>
    </row>
    <row r="35" spans="2:9" ht="12.75">
      <c r="B35" s="1" t="s">
        <v>20</v>
      </c>
      <c r="C35" s="5">
        <f aca="true" t="shared" si="6" ref="C35:H35">+C7</f>
        <v>22</v>
      </c>
      <c r="D35" s="5">
        <f t="shared" si="6"/>
        <v>19</v>
      </c>
      <c r="E35" s="5">
        <f t="shared" si="6"/>
        <v>21</v>
      </c>
      <c r="F35" s="5">
        <f t="shared" si="6"/>
        <v>21</v>
      </c>
      <c r="G35" s="5">
        <f t="shared" si="6"/>
        <v>22</v>
      </c>
      <c r="H35" s="5">
        <f t="shared" si="6"/>
        <v>20</v>
      </c>
      <c r="I35" s="2"/>
    </row>
    <row r="36" spans="2:9" ht="12.75">
      <c r="B36" s="1" t="s">
        <v>92</v>
      </c>
      <c r="C36" s="5">
        <f aca="true" t="shared" si="7" ref="C36:H36">+C35*8</f>
        <v>176</v>
      </c>
      <c r="D36" s="5">
        <f t="shared" si="7"/>
        <v>152</v>
      </c>
      <c r="E36" s="5">
        <f t="shared" si="7"/>
        <v>168</v>
      </c>
      <c r="F36" s="5">
        <f t="shared" si="7"/>
        <v>168</v>
      </c>
      <c r="G36" s="5">
        <f t="shared" si="7"/>
        <v>176</v>
      </c>
      <c r="H36" s="5">
        <f t="shared" si="7"/>
        <v>160</v>
      </c>
      <c r="I36" s="2"/>
    </row>
    <row r="37" spans="2:9" ht="12.75">
      <c r="B37" s="1" t="s">
        <v>93</v>
      </c>
      <c r="C37" s="5">
        <f aca="true" t="shared" si="8" ref="C37:H37">+INT(C34/C36+0.5)</f>
        <v>53</v>
      </c>
      <c r="D37" s="5">
        <f t="shared" si="8"/>
        <v>47</v>
      </c>
      <c r="E37" s="5">
        <f t="shared" si="8"/>
        <v>30</v>
      </c>
      <c r="F37" s="5">
        <f t="shared" si="8"/>
        <v>25</v>
      </c>
      <c r="G37" s="5">
        <f t="shared" si="8"/>
        <v>33</v>
      </c>
      <c r="H37" s="5">
        <f t="shared" si="8"/>
        <v>54</v>
      </c>
      <c r="I37" s="2"/>
    </row>
    <row r="38" spans="2:9" ht="12.75">
      <c r="B38" s="1" t="s">
        <v>94</v>
      </c>
      <c r="C38" s="5">
        <v>0</v>
      </c>
      <c r="D38" s="5">
        <f>IF(D37&gt;C37,D37-C37,0)</f>
        <v>0</v>
      </c>
      <c r="E38" s="5">
        <f>IF(E37&gt;D37,E37-D37,0)</f>
        <v>0</v>
      </c>
      <c r="F38" s="5">
        <f>IF(F37&gt;E37,F37-E37,0)</f>
        <v>0</v>
      </c>
      <c r="G38" s="5">
        <f>IF(G37&gt;F37,G37-F37,0)</f>
        <v>8</v>
      </c>
      <c r="H38" s="5">
        <f>IF(H37&gt;G37,H37-G37,0)</f>
        <v>21</v>
      </c>
      <c r="I38" s="2"/>
    </row>
    <row r="39" spans="2:9" ht="12.75">
      <c r="B39" s="1" t="s">
        <v>95</v>
      </c>
      <c r="C39" s="6">
        <f aca="true" t="shared" si="9" ref="C39:H39">C38*200</f>
        <v>0</v>
      </c>
      <c r="D39" s="6">
        <f t="shared" si="9"/>
        <v>0</v>
      </c>
      <c r="E39" s="6">
        <f t="shared" si="9"/>
        <v>0</v>
      </c>
      <c r="F39" s="6">
        <f t="shared" si="9"/>
        <v>0</v>
      </c>
      <c r="G39" s="6">
        <f t="shared" si="9"/>
        <v>1600</v>
      </c>
      <c r="H39" s="6">
        <f t="shared" si="9"/>
        <v>4200</v>
      </c>
      <c r="I39" s="6">
        <f>SUM(C39:H39)</f>
        <v>5800</v>
      </c>
    </row>
    <row r="40" spans="2:9" ht="12.75">
      <c r="B40" s="1" t="s">
        <v>21</v>
      </c>
      <c r="C40" s="5">
        <v>0</v>
      </c>
      <c r="D40" s="5">
        <f>IF(D37&lt;C37,C37-D37,0)</f>
        <v>6</v>
      </c>
      <c r="E40" s="5">
        <f>IF(E37&lt;D37,D37-E37,0)</f>
        <v>17</v>
      </c>
      <c r="F40" s="5">
        <f>IF(F37&lt;E37,E37-F37,0)</f>
        <v>5</v>
      </c>
      <c r="G40" s="5">
        <f>IF(G37&lt;F37,F37-G37,0)</f>
        <v>0</v>
      </c>
      <c r="H40" s="5">
        <f>IF(H37&lt;G37,G37-H37,0)</f>
        <v>0</v>
      </c>
      <c r="I40" s="6"/>
    </row>
    <row r="41" spans="2:9" ht="12.75">
      <c r="B41" s="1" t="s">
        <v>22</v>
      </c>
      <c r="C41" s="6">
        <f aca="true" t="shared" si="10" ref="C41:H41">+C40*250</f>
        <v>0</v>
      </c>
      <c r="D41" s="6">
        <f t="shared" si="10"/>
        <v>1500</v>
      </c>
      <c r="E41" s="6">
        <f t="shared" si="10"/>
        <v>4250</v>
      </c>
      <c r="F41" s="6">
        <f t="shared" si="10"/>
        <v>1250</v>
      </c>
      <c r="G41" s="6">
        <f t="shared" si="10"/>
        <v>0</v>
      </c>
      <c r="H41" s="6">
        <f t="shared" si="10"/>
        <v>0</v>
      </c>
      <c r="I41" s="6">
        <f>SUM(C41:H41)</f>
        <v>7000</v>
      </c>
    </row>
    <row r="42" spans="2:9" ht="12.75">
      <c r="B42" s="1" t="s">
        <v>96</v>
      </c>
      <c r="C42" s="6">
        <f aca="true" t="shared" si="11" ref="C42:H42">C34*4</f>
        <v>37000</v>
      </c>
      <c r="D42" s="6">
        <f t="shared" si="11"/>
        <v>28500</v>
      </c>
      <c r="E42" s="6">
        <f t="shared" si="11"/>
        <v>20000</v>
      </c>
      <c r="F42" s="6">
        <f t="shared" si="11"/>
        <v>17000</v>
      </c>
      <c r="G42" s="6">
        <f t="shared" si="11"/>
        <v>23000</v>
      </c>
      <c r="H42" s="6">
        <f t="shared" si="11"/>
        <v>34500</v>
      </c>
      <c r="I42" s="6">
        <f>SUM(C42:H42)</f>
        <v>160000</v>
      </c>
    </row>
    <row r="43" spans="2:9" ht="12.75">
      <c r="B43" s="2"/>
      <c r="C43" s="5"/>
      <c r="D43" s="5"/>
      <c r="E43" s="5"/>
      <c r="F43" s="5"/>
      <c r="G43" s="73" t="s">
        <v>24</v>
      </c>
      <c r="H43" s="73"/>
      <c r="I43" s="6">
        <f>SUM(I39:I42)</f>
        <v>172800</v>
      </c>
    </row>
    <row r="44" spans="2:9" ht="13.5" thickBot="1">
      <c r="B44" s="2"/>
      <c r="C44" s="5"/>
      <c r="D44" s="5"/>
      <c r="E44" s="5"/>
      <c r="F44" s="5"/>
      <c r="G44" s="7"/>
      <c r="H44" s="7"/>
      <c r="I44" s="6"/>
    </row>
    <row r="45" spans="2:9" ht="15">
      <c r="B45" s="8" t="s">
        <v>25</v>
      </c>
      <c r="C45" s="9"/>
      <c r="D45" s="9"/>
      <c r="E45" s="9"/>
      <c r="F45" s="9"/>
      <c r="G45" s="9"/>
      <c r="H45" s="9"/>
      <c r="I45" s="9"/>
    </row>
    <row r="46" spans="2:9" ht="15">
      <c r="B46" s="10"/>
      <c r="C46" s="11" t="s">
        <v>0</v>
      </c>
      <c r="D46" s="11" t="s">
        <v>1</v>
      </c>
      <c r="E46" s="11" t="s">
        <v>2</v>
      </c>
      <c r="F46" s="11" t="s">
        <v>3</v>
      </c>
      <c r="G46" s="11" t="s">
        <v>4</v>
      </c>
      <c r="H46" s="11" t="s">
        <v>5</v>
      </c>
      <c r="I46" s="11" t="s">
        <v>23</v>
      </c>
    </row>
    <row r="47" spans="2:9" ht="12.75">
      <c r="B47" s="12" t="s">
        <v>18</v>
      </c>
      <c r="C47" s="13">
        <v>400</v>
      </c>
      <c r="D47" s="13">
        <f>C52</f>
        <v>8</v>
      </c>
      <c r="E47" s="13">
        <f>D52</f>
        <v>-276</v>
      </c>
      <c r="F47" s="13">
        <f>E52</f>
        <v>-32</v>
      </c>
      <c r="G47" s="13">
        <f>F52</f>
        <v>412</v>
      </c>
      <c r="H47" s="13">
        <f>G52</f>
        <v>720</v>
      </c>
      <c r="I47" s="14"/>
    </row>
    <row r="48" spans="2:9" ht="12.75">
      <c r="B48" s="12" t="s">
        <v>20</v>
      </c>
      <c r="C48" s="13">
        <f aca="true" t="shared" si="12" ref="C48:H48">C7</f>
        <v>22</v>
      </c>
      <c r="D48" s="13">
        <f t="shared" si="12"/>
        <v>19</v>
      </c>
      <c r="E48" s="13">
        <f t="shared" si="12"/>
        <v>21</v>
      </c>
      <c r="F48" s="13">
        <f t="shared" si="12"/>
        <v>21</v>
      </c>
      <c r="G48" s="13">
        <f t="shared" si="12"/>
        <v>22</v>
      </c>
      <c r="H48" s="13">
        <f t="shared" si="12"/>
        <v>20</v>
      </c>
      <c r="I48" s="14"/>
    </row>
    <row r="49" spans="2:9" ht="38.25">
      <c r="B49" s="12" t="s">
        <v>109</v>
      </c>
      <c r="C49" s="13">
        <f aca="true" t="shared" si="13" ref="C49:H49">C48*8*40</f>
        <v>7040</v>
      </c>
      <c r="D49" s="13">
        <f t="shared" si="13"/>
        <v>6080</v>
      </c>
      <c r="E49" s="13">
        <f t="shared" si="13"/>
        <v>6720</v>
      </c>
      <c r="F49" s="13">
        <f t="shared" si="13"/>
        <v>6720</v>
      </c>
      <c r="G49" s="13">
        <f t="shared" si="13"/>
        <v>7040</v>
      </c>
      <c r="H49" s="13">
        <f t="shared" si="13"/>
        <v>6400</v>
      </c>
      <c r="I49" s="14"/>
    </row>
    <row r="50" spans="2:9" ht="25.5">
      <c r="B50" s="12" t="s">
        <v>110</v>
      </c>
      <c r="C50" s="13">
        <f aca="true" t="shared" si="14" ref="C50:H50">C49/5</f>
        <v>1408</v>
      </c>
      <c r="D50" s="13">
        <f t="shared" si="14"/>
        <v>1216</v>
      </c>
      <c r="E50" s="13">
        <f t="shared" si="14"/>
        <v>1344</v>
      </c>
      <c r="F50" s="13">
        <f t="shared" si="14"/>
        <v>1344</v>
      </c>
      <c r="G50" s="13">
        <f t="shared" si="14"/>
        <v>1408</v>
      </c>
      <c r="H50" s="13">
        <f t="shared" si="14"/>
        <v>1280</v>
      </c>
      <c r="I50" s="14"/>
    </row>
    <row r="51" spans="2:9" ht="12.75">
      <c r="B51" s="12" t="s">
        <v>133</v>
      </c>
      <c r="C51" s="13">
        <f aca="true" t="shared" si="15" ref="C51:H51">C6</f>
        <v>1800</v>
      </c>
      <c r="D51" s="13">
        <f t="shared" si="15"/>
        <v>1500</v>
      </c>
      <c r="E51" s="13">
        <f t="shared" si="15"/>
        <v>1100</v>
      </c>
      <c r="F51" s="13">
        <f t="shared" si="15"/>
        <v>900</v>
      </c>
      <c r="G51" s="13">
        <f t="shared" si="15"/>
        <v>1100</v>
      </c>
      <c r="H51" s="13">
        <f t="shared" si="15"/>
        <v>1600</v>
      </c>
      <c r="I51" s="14"/>
    </row>
    <row r="52" spans="2:9" ht="38.25">
      <c r="B52" s="15" t="s">
        <v>111</v>
      </c>
      <c r="C52" s="16">
        <f aca="true" t="shared" si="16" ref="C52:H52">C47+C50-C51</f>
        <v>8</v>
      </c>
      <c r="D52" s="16">
        <f t="shared" si="16"/>
        <v>-276</v>
      </c>
      <c r="E52" s="16">
        <f t="shared" si="16"/>
        <v>-32</v>
      </c>
      <c r="F52" s="16">
        <f t="shared" si="16"/>
        <v>412</v>
      </c>
      <c r="G52" s="16">
        <f t="shared" si="16"/>
        <v>720</v>
      </c>
      <c r="H52" s="16">
        <f t="shared" si="16"/>
        <v>400</v>
      </c>
      <c r="I52" s="17"/>
    </row>
    <row r="53" spans="2:9" ht="12.75">
      <c r="B53" s="12" t="s">
        <v>112</v>
      </c>
      <c r="C53" s="18">
        <f aca="true" t="shared" si="17" ref="C53:H53">IF(C52&lt;0,-C52*5,0)</f>
        <v>0</v>
      </c>
      <c r="D53" s="18">
        <f t="shared" si="17"/>
        <v>1380</v>
      </c>
      <c r="E53" s="18">
        <f t="shared" si="17"/>
        <v>160</v>
      </c>
      <c r="F53" s="18">
        <f t="shared" si="17"/>
        <v>0</v>
      </c>
      <c r="G53" s="18">
        <f t="shared" si="17"/>
        <v>0</v>
      </c>
      <c r="H53" s="18">
        <f t="shared" si="17"/>
        <v>0</v>
      </c>
      <c r="I53" s="18">
        <f>SUM(C53:H53)</f>
        <v>1540</v>
      </c>
    </row>
    <row r="54" spans="2:9" ht="12.75">
      <c r="B54" s="12" t="s">
        <v>134</v>
      </c>
      <c r="C54" s="13">
        <f aca="true" t="shared" si="18" ref="C54:H54">C25</f>
        <v>450</v>
      </c>
      <c r="D54" s="13">
        <f t="shared" si="18"/>
        <v>375</v>
      </c>
      <c r="E54" s="13">
        <f t="shared" si="18"/>
        <v>275</v>
      </c>
      <c r="F54" s="13">
        <f t="shared" si="18"/>
        <v>225</v>
      </c>
      <c r="G54" s="13">
        <f t="shared" si="18"/>
        <v>275</v>
      </c>
      <c r="H54" s="13">
        <f t="shared" si="18"/>
        <v>400</v>
      </c>
      <c r="I54" s="14"/>
    </row>
    <row r="55" spans="2:9" ht="25.5">
      <c r="B55" s="19" t="s">
        <v>113</v>
      </c>
      <c r="C55" s="16">
        <f aca="true" t="shared" si="19" ref="C55:H55">IF(C52&gt;C54,C52-C54,0)</f>
        <v>0</v>
      </c>
      <c r="D55" s="16">
        <f t="shared" si="19"/>
        <v>0</v>
      </c>
      <c r="E55" s="16">
        <f t="shared" si="19"/>
        <v>0</v>
      </c>
      <c r="F55" s="16">
        <f t="shared" si="19"/>
        <v>187</v>
      </c>
      <c r="G55" s="16">
        <f t="shared" si="19"/>
        <v>445</v>
      </c>
      <c r="H55" s="16">
        <f t="shared" si="19"/>
        <v>0</v>
      </c>
      <c r="I55" s="17"/>
    </row>
    <row r="56" spans="2:9" ht="12.75">
      <c r="B56" s="12" t="s">
        <v>114</v>
      </c>
      <c r="C56" s="18">
        <f aca="true" t="shared" si="20" ref="C56:H56">+C55*1.5</f>
        <v>0</v>
      </c>
      <c r="D56" s="18">
        <f t="shared" si="20"/>
        <v>0</v>
      </c>
      <c r="E56" s="18">
        <f t="shared" si="20"/>
        <v>0</v>
      </c>
      <c r="F56" s="18">
        <f t="shared" si="20"/>
        <v>280.5</v>
      </c>
      <c r="G56" s="18">
        <f t="shared" si="20"/>
        <v>667.5</v>
      </c>
      <c r="H56" s="18">
        <f t="shared" si="20"/>
        <v>0</v>
      </c>
      <c r="I56" s="18">
        <f>SUM(C56:H56)</f>
        <v>948</v>
      </c>
    </row>
    <row r="57" spans="2:9" ht="12.75">
      <c r="B57" s="1" t="s">
        <v>96</v>
      </c>
      <c r="C57" s="18">
        <f aca="true" t="shared" si="21" ref="C57:H57">C49*4</f>
        <v>28160</v>
      </c>
      <c r="D57" s="18">
        <f t="shared" si="21"/>
        <v>24320</v>
      </c>
      <c r="E57" s="18">
        <f t="shared" si="21"/>
        <v>26880</v>
      </c>
      <c r="F57" s="18">
        <f t="shared" si="21"/>
        <v>26880</v>
      </c>
      <c r="G57" s="18">
        <f t="shared" si="21"/>
        <v>28160</v>
      </c>
      <c r="H57" s="18">
        <f t="shared" si="21"/>
        <v>25600</v>
      </c>
      <c r="I57" s="18">
        <f>SUM(C57:H57)</f>
        <v>160000</v>
      </c>
    </row>
    <row r="58" spans="2:9" ht="48.75" thickBot="1">
      <c r="B58" s="32" t="s">
        <v>135</v>
      </c>
      <c r="C58" s="20"/>
      <c r="D58" s="20"/>
      <c r="E58" s="20"/>
      <c r="F58" s="20"/>
      <c r="G58" s="73" t="s">
        <v>24</v>
      </c>
      <c r="H58" s="73"/>
      <c r="I58" s="7">
        <f>SUM(I53:I57)</f>
        <v>162488</v>
      </c>
    </row>
    <row r="59" spans="2:9" ht="13.5" thickBot="1">
      <c r="B59" s="74"/>
      <c r="C59" s="74"/>
      <c r="D59" s="74"/>
      <c r="E59" s="74"/>
      <c r="F59" s="74"/>
      <c r="G59" s="2"/>
      <c r="H59" s="2"/>
      <c r="I59" s="2"/>
    </row>
    <row r="60" spans="2:9" ht="15">
      <c r="B60" s="8" t="s">
        <v>27</v>
      </c>
      <c r="C60" s="9"/>
      <c r="D60" s="9"/>
      <c r="E60" s="9"/>
      <c r="F60" s="9"/>
      <c r="G60" s="9"/>
      <c r="H60" s="9"/>
      <c r="I60" s="9"/>
    </row>
    <row r="61" spans="2:9" ht="15">
      <c r="B61" s="10"/>
      <c r="C61" s="11" t="s">
        <v>0</v>
      </c>
      <c r="D61" s="11" t="s">
        <v>1</v>
      </c>
      <c r="E61" s="11" t="s">
        <v>2</v>
      </c>
      <c r="F61" s="11" t="s">
        <v>3</v>
      </c>
      <c r="G61" s="11" t="s">
        <v>4</v>
      </c>
      <c r="H61" s="11" t="s">
        <v>5</v>
      </c>
      <c r="I61" s="11" t="s">
        <v>23</v>
      </c>
    </row>
    <row r="62" spans="2:9" ht="12.75">
      <c r="B62" s="1" t="s">
        <v>89</v>
      </c>
      <c r="C62" s="5">
        <f aca="true" t="shared" si="22" ref="C62:H62">C26</f>
        <v>1850</v>
      </c>
      <c r="D62" s="5">
        <f t="shared" si="22"/>
        <v>1425</v>
      </c>
      <c r="E62" s="5">
        <f t="shared" si="22"/>
        <v>1000</v>
      </c>
      <c r="F62" s="5">
        <f t="shared" si="22"/>
        <v>850</v>
      </c>
      <c r="G62" s="5">
        <f t="shared" si="22"/>
        <v>1150</v>
      </c>
      <c r="H62" s="5">
        <f t="shared" si="22"/>
        <v>1725</v>
      </c>
      <c r="I62" s="2"/>
    </row>
    <row r="63" spans="2:9" ht="12.75">
      <c r="B63" s="1" t="s">
        <v>28</v>
      </c>
      <c r="C63" s="5">
        <f aca="true" t="shared" si="23" ref="C63:H63">C7</f>
        <v>22</v>
      </c>
      <c r="D63" s="5">
        <f t="shared" si="23"/>
        <v>19</v>
      </c>
      <c r="E63" s="5">
        <f t="shared" si="23"/>
        <v>21</v>
      </c>
      <c r="F63" s="5">
        <f t="shared" si="23"/>
        <v>21</v>
      </c>
      <c r="G63" s="5">
        <f t="shared" si="23"/>
        <v>22</v>
      </c>
      <c r="H63" s="5">
        <f t="shared" si="23"/>
        <v>20</v>
      </c>
      <c r="I63" s="2"/>
    </row>
    <row r="64" spans="2:9" ht="25.5">
      <c r="B64" s="1" t="s">
        <v>29</v>
      </c>
      <c r="C64" s="5">
        <f aca="true" t="shared" si="24" ref="C64:H64">C63*8*25</f>
        <v>4400</v>
      </c>
      <c r="D64" s="5">
        <f t="shared" si="24"/>
        <v>3800</v>
      </c>
      <c r="E64" s="5">
        <f t="shared" si="24"/>
        <v>4200</v>
      </c>
      <c r="F64" s="5">
        <f t="shared" si="24"/>
        <v>4200</v>
      </c>
      <c r="G64" s="5">
        <f t="shared" si="24"/>
        <v>4400</v>
      </c>
      <c r="H64" s="5">
        <f t="shared" si="24"/>
        <v>4000</v>
      </c>
      <c r="I64" s="2"/>
    </row>
    <row r="65" spans="2:9" ht="25.5">
      <c r="B65" s="1" t="s">
        <v>30</v>
      </c>
      <c r="C65" s="5">
        <f aca="true" t="shared" si="25" ref="C65:H65">C64/5</f>
        <v>880</v>
      </c>
      <c r="D65" s="5">
        <f t="shared" si="25"/>
        <v>760</v>
      </c>
      <c r="E65" s="5">
        <f t="shared" si="25"/>
        <v>840</v>
      </c>
      <c r="F65" s="5">
        <f t="shared" si="25"/>
        <v>840</v>
      </c>
      <c r="G65" s="5">
        <f t="shared" si="25"/>
        <v>880</v>
      </c>
      <c r="H65" s="5">
        <f t="shared" si="25"/>
        <v>800</v>
      </c>
      <c r="I65" s="2"/>
    </row>
    <row r="66" spans="2:9" ht="25.5">
      <c r="B66" s="1" t="s">
        <v>31</v>
      </c>
      <c r="C66" s="5">
        <f aca="true" t="shared" si="26" ref="C66:H66">C62-C65</f>
        <v>970</v>
      </c>
      <c r="D66" s="5">
        <f t="shared" si="26"/>
        <v>665</v>
      </c>
      <c r="E66" s="5">
        <f t="shared" si="26"/>
        <v>160</v>
      </c>
      <c r="F66" s="5">
        <f t="shared" si="26"/>
        <v>10</v>
      </c>
      <c r="G66" s="5">
        <f t="shared" si="26"/>
        <v>270</v>
      </c>
      <c r="H66" s="5">
        <f t="shared" si="26"/>
        <v>925</v>
      </c>
      <c r="I66" s="2"/>
    </row>
    <row r="67" spans="2:9" ht="25.5">
      <c r="B67" s="1" t="s">
        <v>32</v>
      </c>
      <c r="C67" s="6">
        <f aca="true" t="shared" si="27" ref="C67:H67">C66*20</f>
        <v>19400</v>
      </c>
      <c r="D67" s="6">
        <f t="shared" si="27"/>
        <v>13300</v>
      </c>
      <c r="E67" s="6">
        <f t="shared" si="27"/>
        <v>3200</v>
      </c>
      <c r="F67" s="6">
        <f t="shared" si="27"/>
        <v>200</v>
      </c>
      <c r="G67" s="6">
        <f t="shared" si="27"/>
        <v>5400</v>
      </c>
      <c r="H67" s="6">
        <f t="shared" si="27"/>
        <v>18500</v>
      </c>
      <c r="I67" s="6">
        <f>SUM(C67:H67)</f>
        <v>60000</v>
      </c>
    </row>
    <row r="68" spans="2:9" ht="12.75">
      <c r="B68" s="1" t="s">
        <v>96</v>
      </c>
      <c r="C68" s="6">
        <f aca="true" t="shared" si="28" ref="C68:H68">C64*4</f>
        <v>17600</v>
      </c>
      <c r="D68" s="6">
        <f t="shared" si="28"/>
        <v>15200</v>
      </c>
      <c r="E68" s="6">
        <f t="shared" si="28"/>
        <v>16800</v>
      </c>
      <c r="F68" s="6">
        <f t="shared" si="28"/>
        <v>16800</v>
      </c>
      <c r="G68" s="6">
        <f t="shared" si="28"/>
        <v>17600</v>
      </c>
      <c r="H68" s="6">
        <f t="shared" si="28"/>
        <v>16000</v>
      </c>
      <c r="I68" s="6">
        <f>SUM(C68:H68)</f>
        <v>100000</v>
      </c>
    </row>
    <row r="69" spans="2:9" ht="48">
      <c r="B69" s="33" t="s">
        <v>33</v>
      </c>
      <c r="C69" s="2"/>
      <c r="D69" s="2"/>
      <c r="E69" s="2"/>
      <c r="F69" s="2"/>
      <c r="G69" s="73" t="s">
        <v>24</v>
      </c>
      <c r="H69" s="73"/>
      <c r="I69" s="6">
        <f>SUM(I67:I68)</f>
        <v>160000</v>
      </c>
    </row>
    <row r="70" spans="2:9" ht="13.5" thickBot="1">
      <c r="B70" s="2"/>
      <c r="C70" s="2"/>
      <c r="D70" s="2"/>
      <c r="E70" s="2"/>
      <c r="F70" s="2"/>
      <c r="G70" s="2"/>
      <c r="H70" s="2"/>
      <c r="I70" s="2"/>
    </row>
    <row r="71" spans="2:9" ht="15">
      <c r="B71" s="8" t="s">
        <v>34</v>
      </c>
      <c r="C71" s="9"/>
      <c r="D71" s="9"/>
      <c r="E71" s="9"/>
      <c r="F71" s="9"/>
      <c r="G71" s="9"/>
      <c r="H71" s="9"/>
      <c r="I71" s="9"/>
    </row>
    <row r="72" spans="2:9" ht="15">
      <c r="B72" s="10"/>
      <c r="C72" s="11" t="s">
        <v>0</v>
      </c>
      <c r="D72" s="11" t="s">
        <v>1</v>
      </c>
      <c r="E72" s="11" t="s">
        <v>2</v>
      </c>
      <c r="F72" s="11" t="s">
        <v>3</v>
      </c>
      <c r="G72" s="11" t="s">
        <v>4</v>
      </c>
      <c r="H72" s="11" t="s">
        <v>5</v>
      </c>
      <c r="I72" s="11" t="s">
        <v>23</v>
      </c>
    </row>
    <row r="73" spans="2:9" ht="12.75">
      <c r="B73" s="1" t="s">
        <v>18</v>
      </c>
      <c r="C73" s="5">
        <v>400</v>
      </c>
      <c r="D73" s="5">
        <f>C78+C79</f>
        <v>-0.40000000000009095</v>
      </c>
      <c r="E73" s="5">
        <f>D78+D79</f>
        <v>-0.20000000000004547</v>
      </c>
      <c r="F73" s="5">
        <f>E78+E79</f>
        <v>176.5999999999999</v>
      </c>
      <c r="G73" s="5">
        <f>F78+F79</f>
        <v>553.3999999999999</v>
      </c>
      <c r="H73" s="5">
        <f>G78+G79</f>
        <v>790.9999999999998</v>
      </c>
      <c r="I73" s="2"/>
    </row>
    <row r="74" spans="2:9" ht="12.75">
      <c r="B74" s="1" t="s">
        <v>20</v>
      </c>
      <c r="C74" s="5">
        <f>C7</f>
        <v>22</v>
      </c>
      <c r="D74" s="5">
        <f aca="true" t="shared" si="29" ref="D74:I74">D7</f>
        <v>19</v>
      </c>
      <c r="E74" s="5">
        <f t="shared" si="29"/>
        <v>21</v>
      </c>
      <c r="F74" s="5">
        <f t="shared" si="29"/>
        <v>21</v>
      </c>
      <c r="G74" s="5">
        <f t="shared" si="29"/>
        <v>22</v>
      </c>
      <c r="H74" s="5">
        <f t="shared" si="29"/>
        <v>20</v>
      </c>
      <c r="I74" s="2">
        <f t="shared" si="29"/>
        <v>125</v>
      </c>
    </row>
    <row r="75" spans="2:9" ht="25.5">
      <c r="B75" s="1" t="s">
        <v>106</v>
      </c>
      <c r="C75" s="5">
        <f aca="true" t="shared" si="30" ref="C75:H75">C74*8*38</f>
        <v>6688</v>
      </c>
      <c r="D75" s="5">
        <f t="shared" si="30"/>
        <v>5776</v>
      </c>
      <c r="E75" s="5">
        <f t="shared" si="30"/>
        <v>6384</v>
      </c>
      <c r="F75" s="5">
        <f t="shared" si="30"/>
        <v>6384</v>
      </c>
      <c r="G75" s="5">
        <f t="shared" si="30"/>
        <v>6688</v>
      </c>
      <c r="H75" s="5">
        <f t="shared" si="30"/>
        <v>6080</v>
      </c>
      <c r="I75" s="2"/>
    </row>
    <row r="76" spans="2:9" ht="25.5">
      <c r="B76" s="1" t="s">
        <v>105</v>
      </c>
      <c r="C76" s="5">
        <f aca="true" t="shared" si="31" ref="C76:H76">C75/5</f>
        <v>1337.6</v>
      </c>
      <c r="D76" s="5">
        <f t="shared" si="31"/>
        <v>1155.2</v>
      </c>
      <c r="E76" s="5">
        <f t="shared" si="31"/>
        <v>1276.8</v>
      </c>
      <c r="F76" s="5">
        <f t="shared" si="31"/>
        <v>1276.8</v>
      </c>
      <c r="G76" s="5">
        <f t="shared" si="31"/>
        <v>1337.6</v>
      </c>
      <c r="H76" s="5">
        <f t="shared" si="31"/>
        <v>1216</v>
      </c>
      <c r="I76" s="2"/>
    </row>
    <row r="77" spans="2:9" ht="12.75">
      <c r="B77" s="1" t="s">
        <v>136</v>
      </c>
      <c r="C77" s="5">
        <f>C6</f>
        <v>1800</v>
      </c>
      <c r="D77" s="5">
        <f aca="true" t="shared" si="32" ref="D77:I77">D6</f>
        <v>1500</v>
      </c>
      <c r="E77" s="5">
        <f t="shared" si="32"/>
        <v>1100</v>
      </c>
      <c r="F77" s="5">
        <f t="shared" si="32"/>
        <v>900</v>
      </c>
      <c r="G77" s="5">
        <f t="shared" si="32"/>
        <v>1100</v>
      </c>
      <c r="H77" s="5">
        <f t="shared" si="32"/>
        <v>1600</v>
      </c>
      <c r="I77" s="2">
        <f t="shared" si="32"/>
        <v>8000</v>
      </c>
    </row>
    <row r="78" spans="2:9" ht="38.25">
      <c r="B78" s="1" t="s">
        <v>104</v>
      </c>
      <c r="C78" s="5">
        <f aca="true" t="shared" si="33" ref="C78:H78">C73+C76-C77</f>
        <v>-62.40000000000009</v>
      </c>
      <c r="D78" s="5">
        <f t="shared" si="33"/>
        <v>-345.20000000000005</v>
      </c>
      <c r="E78" s="5">
        <f t="shared" si="33"/>
        <v>176.5999999999999</v>
      </c>
      <c r="F78" s="5">
        <f t="shared" si="33"/>
        <v>553.3999999999999</v>
      </c>
      <c r="G78" s="5">
        <f t="shared" si="33"/>
        <v>790.9999999999998</v>
      </c>
      <c r="H78" s="5">
        <f t="shared" si="33"/>
        <v>406.9999999999998</v>
      </c>
      <c r="I78" s="2"/>
    </row>
    <row r="79" spans="2:9" ht="12.75">
      <c r="B79" s="1" t="s">
        <v>35</v>
      </c>
      <c r="C79" s="5">
        <f aca="true" t="shared" si="34" ref="C79:H79">IF(C78&lt;0,ROUND(-C78,0),0)</f>
        <v>62</v>
      </c>
      <c r="D79" s="5">
        <f t="shared" si="34"/>
        <v>345</v>
      </c>
      <c r="E79" s="5">
        <f t="shared" si="34"/>
        <v>0</v>
      </c>
      <c r="F79" s="5">
        <f t="shared" si="34"/>
        <v>0</v>
      </c>
      <c r="G79" s="5">
        <f t="shared" si="34"/>
        <v>0</v>
      </c>
      <c r="H79" s="5">
        <f t="shared" si="34"/>
        <v>0</v>
      </c>
      <c r="I79" s="5"/>
    </row>
    <row r="80" spans="2:9" s="21" customFormat="1" ht="25.5">
      <c r="B80" s="1" t="s">
        <v>107</v>
      </c>
      <c r="C80" s="25">
        <f aca="true" t="shared" si="35" ref="C80:H80">+C79*6*5</f>
        <v>1860</v>
      </c>
      <c r="D80" s="25">
        <f t="shared" si="35"/>
        <v>10350</v>
      </c>
      <c r="E80" s="25">
        <f t="shared" si="35"/>
        <v>0</v>
      </c>
      <c r="F80" s="25">
        <f t="shared" si="35"/>
        <v>0</v>
      </c>
      <c r="G80" s="25">
        <f t="shared" si="35"/>
        <v>0</v>
      </c>
      <c r="H80" s="25">
        <f t="shared" si="35"/>
        <v>0</v>
      </c>
      <c r="I80" s="25">
        <f>SUM(C80:H80)</f>
        <v>12210</v>
      </c>
    </row>
    <row r="81" spans="2:9" ht="12.75">
      <c r="B81" s="1" t="s">
        <v>137</v>
      </c>
      <c r="C81" s="5">
        <f aca="true" t="shared" si="36" ref="C81:H81">C25</f>
        <v>450</v>
      </c>
      <c r="D81" s="5">
        <f t="shared" si="36"/>
        <v>375</v>
      </c>
      <c r="E81" s="5">
        <f t="shared" si="36"/>
        <v>275</v>
      </c>
      <c r="F81" s="5">
        <f t="shared" si="36"/>
        <v>225</v>
      </c>
      <c r="G81" s="5">
        <f t="shared" si="36"/>
        <v>275</v>
      </c>
      <c r="H81" s="5">
        <f t="shared" si="36"/>
        <v>400</v>
      </c>
      <c r="I81" s="2"/>
    </row>
    <row r="82" spans="2:9" ht="25.5">
      <c r="B82" s="1" t="s">
        <v>108</v>
      </c>
      <c r="C82" s="5">
        <f aca="true" t="shared" si="37" ref="C82:H82">IF(C78-C81&gt;0,C78-C81,0)</f>
        <v>0</v>
      </c>
      <c r="D82" s="5">
        <f t="shared" si="37"/>
        <v>0</v>
      </c>
      <c r="E82" s="5">
        <f t="shared" si="37"/>
        <v>0</v>
      </c>
      <c r="F82" s="5">
        <f t="shared" si="37"/>
        <v>328.39999999999986</v>
      </c>
      <c r="G82" s="5">
        <f t="shared" si="37"/>
        <v>515.9999999999998</v>
      </c>
      <c r="H82" s="5">
        <f t="shared" si="37"/>
        <v>6.999999999999773</v>
      </c>
      <c r="I82" s="2"/>
    </row>
    <row r="83" spans="2:9" ht="25.5">
      <c r="B83" s="1" t="s">
        <v>36</v>
      </c>
      <c r="C83" s="6">
        <f aca="true" t="shared" si="38" ref="C83:H83">+C82*1.5</f>
        <v>0</v>
      </c>
      <c r="D83" s="6">
        <f t="shared" si="38"/>
        <v>0</v>
      </c>
      <c r="E83" s="6">
        <f t="shared" si="38"/>
        <v>0</v>
      </c>
      <c r="F83" s="6">
        <f t="shared" si="38"/>
        <v>492.5999999999998</v>
      </c>
      <c r="G83" s="6">
        <f t="shared" si="38"/>
        <v>773.9999999999997</v>
      </c>
      <c r="H83" s="6">
        <f t="shared" si="38"/>
        <v>10.499999999999659</v>
      </c>
      <c r="I83" s="6">
        <f>SUM(C83:H83)</f>
        <v>1277.099999999999</v>
      </c>
    </row>
    <row r="84" spans="2:9" ht="12.75">
      <c r="B84" s="1" t="s">
        <v>96</v>
      </c>
      <c r="C84" s="6">
        <f aca="true" t="shared" si="39" ref="C84:H84">C75*4</f>
        <v>26752</v>
      </c>
      <c r="D84" s="6">
        <f t="shared" si="39"/>
        <v>23104</v>
      </c>
      <c r="E84" s="6">
        <f t="shared" si="39"/>
        <v>25536</v>
      </c>
      <c r="F84" s="6">
        <f t="shared" si="39"/>
        <v>25536</v>
      </c>
      <c r="G84" s="6">
        <f t="shared" si="39"/>
        <v>26752</v>
      </c>
      <c r="H84" s="6">
        <f t="shared" si="39"/>
        <v>24320</v>
      </c>
      <c r="I84" s="6">
        <f>SUM(C84:H84)</f>
        <v>152000</v>
      </c>
    </row>
    <row r="85" spans="2:9" ht="12.75">
      <c r="B85" s="2"/>
      <c r="C85" s="2"/>
      <c r="D85" s="2"/>
      <c r="E85" s="2"/>
      <c r="F85" s="2"/>
      <c r="G85" s="73" t="s">
        <v>24</v>
      </c>
      <c r="H85" s="73"/>
      <c r="I85" s="6">
        <f>SUM(I80:I84)</f>
        <v>165487.1</v>
      </c>
    </row>
    <row r="88" ht="12.75">
      <c r="B88" s="63" t="s">
        <v>126</v>
      </c>
    </row>
    <row r="89" spans="2:6" ht="13.5" thickBot="1">
      <c r="B89" s="22" t="s">
        <v>37</v>
      </c>
      <c r="C89" s="26" t="s">
        <v>38</v>
      </c>
      <c r="D89" s="26" t="s">
        <v>39</v>
      </c>
      <c r="E89" s="26" t="s">
        <v>40</v>
      </c>
      <c r="F89" s="26" t="s">
        <v>41</v>
      </c>
    </row>
    <row r="90" spans="2:6" ht="12.75">
      <c r="B90" t="s">
        <v>42</v>
      </c>
      <c r="C90" s="23">
        <f>I39</f>
        <v>5800</v>
      </c>
      <c r="D90" s="23">
        <f>0</f>
        <v>0</v>
      </c>
      <c r="E90" s="23">
        <f>0</f>
        <v>0</v>
      </c>
      <c r="F90" s="23">
        <f>0</f>
        <v>0</v>
      </c>
    </row>
    <row r="91" spans="2:6" ht="12.75">
      <c r="B91" t="s">
        <v>43</v>
      </c>
      <c r="C91" s="23">
        <f>I41</f>
        <v>7000</v>
      </c>
      <c r="D91" s="23">
        <f>0</f>
        <v>0</v>
      </c>
      <c r="E91" s="23">
        <f>0</f>
        <v>0</v>
      </c>
      <c r="F91" s="23">
        <f>0</f>
        <v>0</v>
      </c>
    </row>
    <row r="92" spans="2:6" ht="12.75">
      <c r="B92" t="s">
        <v>44</v>
      </c>
      <c r="C92" s="23">
        <f>0</f>
        <v>0</v>
      </c>
      <c r="D92" s="23">
        <f>I56</f>
        <v>948</v>
      </c>
      <c r="E92" s="23">
        <f>0</f>
        <v>0</v>
      </c>
      <c r="F92" s="23">
        <f>I83</f>
        <v>1277.099999999999</v>
      </c>
    </row>
    <row r="93" spans="2:6" ht="12.75">
      <c r="B93" t="s">
        <v>45</v>
      </c>
      <c r="C93" s="23">
        <f>0</f>
        <v>0</v>
      </c>
      <c r="D93" s="23">
        <f>I53</f>
        <v>1540</v>
      </c>
      <c r="E93" s="23">
        <f>0</f>
        <v>0</v>
      </c>
      <c r="F93" s="23">
        <f>0</f>
        <v>0</v>
      </c>
    </row>
    <row r="94" spans="2:6" ht="12.75">
      <c r="B94" t="s">
        <v>46</v>
      </c>
      <c r="C94" s="23">
        <f>0</f>
        <v>0</v>
      </c>
      <c r="D94" s="23">
        <f>0</f>
        <v>0</v>
      </c>
      <c r="E94" s="23">
        <f>I67</f>
        <v>60000</v>
      </c>
      <c r="F94" s="23">
        <f>0</f>
        <v>0</v>
      </c>
    </row>
    <row r="95" spans="2:6" ht="12.75">
      <c r="B95" t="s">
        <v>47</v>
      </c>
      <c r="C95" s="23">
        <f>0</f>
        <v>0</v>
      </c>
      <c r="D95" s="23">
        <f>0</f>
        <v>0</v>
      </c>
      <c r="E95" s="23">
        <f>0</f>
        <v>0</v>
      </c>
      <c r="F95" s="23">
        <f>I80</f>
        <v>12210</v>
      </c>
    </row>
    <row r="96" spans="2:6" ht="12.75">
      <c r="B96" t="s">
        <v>48</v>
      </c>
      <c r="C96" s="24">
        <f>I42</f>
        <v>160000</v>
      </c>
      <c r="D96" s="24">
        <f>I57</f>
        <v>160000</v>
      </c>
      <c r="E96" s="24">
        <f>I68</f>
        <v>100000</v>
      </c>
      <c r="F96" s="24">
        <f>I84</f>
        <v>152000</v>
      </c>
    </row>
    <row r="97" spans="3:6" ht="12.75">
      <c r="C97" s="23">
        <f>SUM(C90:C96)</f>
        <v>172800</v>
      </c>
      <c r="D97" s="23">
        <f>SUM(D90:D96)</f>
        <v>162488</v>
      </c>
      <c r="E97" s="23">
        <f>SUM(E90:E96)</f>
        <v>160000</v>
      </c>
      <c r="F97" s="23">
        <f>SUM(F90:F96)</f>
        <v>165487.1</v>
      </c>
    </row>
  </sheetData>
  <mergeCells count="6">
    <mergeCell ref="B31:I31"/>
    <mergeCell ref="G58:H58"/>
    <mergeCell ref="G69:H69"/>
    <mergeCell ref="G85:H85"/>
    <mergeCell ref="G43:H43"/>
    <mergeCell ref="B59:F59"/>
  </mergeCells>
  <printOptions horizontalCentered="1"/>
  <pageMargins left="0.75" right="0.75" top="1" bottom="1" header="0.5" footer="0.5"/>
  <pageSetup fitToHeight="1" fitToWidth="1" horizontalDpi="300" verticalDpi="300" orientation="portrait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19.421875" style="48" customWidth="1"/>
    <col min="3" max="3" width="13.421875" style="48" customWidth="1"/>
    <col min="4" max="8" width="16.7109375" style="48" customWidth="1"/>
    <col min="9" max="9" width="11.8515625" style="48" customWidth="1"/>
    <col min="10" max="10" width="10.7109375" style="48" bestFit="1" customWidth="1"/>
    <col min="11" max="16384" width="9.140625" style="48" customWidth="1"/>
  </cols>
  <sheetData>
    <row r="1" s="35" customFormat="1" ht="12.75"/>
    <row r="2" s="35" customFormat="1" ht="12.75"/>
    <row r="3" spans="1:2" s="36" customFormat="1" ht="12.75">
      <c r="A3" s="35"/>
      <c r="B3" s="63" t="s">
        <v>130</v>
      </c>
    </row>
    <row r="5" spans="2:15" s="36" customFormat="1" ht="13.5" thickBot="1">
      <c r="B5" s="37"/>
      <c r="C5" s="38" t="s">
        <v>50</v>
      </c>
      <c r="D5" s="38" t="s">
        <v>49</v>
      </c>
      <c r="E5" s="38" t="s">
        <v>51</v>
      </c>
      <c r="F5" s="38" t="s">
        <v>52</v>
      </c>
      <c r="G5" s="38" t="s">
        <v>4</v>
      </c>
      <c r="H5" s="38" t="s">
        <v>53</v>
      </c>
      <c r="I5" s="38" t="s">
        <v>54</v>
      </c>
      <c r="J5" s="38" t="s">
        <v>55</v>
      </c>
      <c r="K5" s="38" t="s">
        <v>56</v>
      </c>
      <c r="L5" s="38" t="s">
        <v>57</v>
      </c>
      <c r="M5" s="38" t="s">
        <v>58</v>
      </c>
      <c r="N5" s="38" t="s">
        <v>59</v>
      </c>
      <c r="O5" s="39" t="s">
        <v>23</v>
      </c>
    </row>
    <row r="6" spans="2:15" s="40" customFormat="1" ht="12.75">
      <c r="B6" s="40" t="s">
        <v>60</v>
      </c>
      <c r="C6" s="40">
        <v>22</v>
      </c>
      <c r="D6" s="40">
        <v>20</v>
      </c>
      <c r="E6" s="40">
        <v>21</v>
      </c>
      <c r="F6" s="40">
        <v>22</v>
      </c>
      <c r="G6" s="40">
        <v>21</v>
      </c>
      <c r="H6" s="40">
        <v>20</v>
      </c>
      <c r="I6" s="40">
        <v>21</v>
      </c>
      <c r="J6" s="40">
        <v>21</v>
      </c>
      <c r="K6" s="40">
        <v>21</v>
      </c>
      <c r="L6" s="40">
        <v>23</v>
      </c>
      <c r="M6" s="40">
        <v>18</v>
      </c>
      <c r="N6" s="40">
        <v>22</v>
      </c>
      <c r="O6" s="40">
        <f>SUM(C6:N6)</f>
        <v>252</v>
      </c>
    </row>
    <row r="7" spans="1:15" s="42" customFormat="1" ht="12.75">
      <c r="A7" s="40"/>
      <c r="B7" s="40" t="s">
        <v>61</v>
      </c>
      <c r="C7" s="41">
        <v>66</v>
      </c>
      <c r="D7" s="41">
        <v>28</v>
      </c>
      <c r="E7" s="41">
        <v>130</v>
      </c>
      <c r="F7" s="41">
        <v>90</v>
      </c>
      <c r="G7" s="41">
        <v>195</v>
      </c>
      <c r="H7" s="41">
        <v>290</v>
      </c>
      <c r="I7" s="41">
        <v>325</v>
      </c>
      <c r="J7" s="41">
        <v>92</v>
      </c>
      <c r="K7" s="41">
        <v>45</v>
      </c>
      <c r="L7" s="41">
        <v>32</v>
      </c>
      <c r="M7" s="41">
        <v>29</v>
      </c>
      <c r="N7" s="41">
        <v>60</v>
      </c>
      <c r="O7" s="41"/>
    </row>
    <row r="8" spans="2:15" s="42" customFormat="1" ht="12.75">
      <c r="B8" s="42" t="s">
        <v>62</v>
      </c>
      <c r="C8" s="43">
        <f>C7*C6</f>
        <v>1452</v>
      </c>
      <c r="D8" s="43">
        <f aca="true" t="shared" si="0" ref="D8:N8">D7*D6</f>
        <v>560</v>
      </c>
      <c r="E8" s="43">
        <f t="shared" si="0"/>
        <v>2730</v>
      </c>
      <c r="F8" s="43">
        <f t="shared" si="0"/>
        <v>1980</v>
      </c>
      <c r="G8" s="43">
        <f t="shared" si="0"/>
        <v>4095</v>
      </c>
      <c r="H8" s="43">
        <f t="shared" si="0"/>
        <v>5800</v>
      </c>
      <c r="I8" s="43">
        <f t="shared" si="0"/>
        <v>6825</v>
      </c>
      <c r="J8" s="43">
        <f t="shared" si="0"/>
        <v>1932</v>
      </c>
      <c r="K8" s="43">
        <f t="shared" si="0"/>
        <v>945</v>
      </c>
      <c r="L8" s="43">
        <f t="shared" si="0"/>
        <v>736</v>
      </c>
      <c r="M8" s="43">
        <f t="shared" si="0"/>
        <v>522</v>
      </c>
      <c r="N8" s="43">
        <f t="shared" si="0"/>
        <v>1320</v>
      </c>
      <c r="O8" s="43">
        <f>SUM(C8:N8)</f>
        <v>28897</v>
      </c>
    </row>
    <row r="9" spans="2:14" s="42" customFormat="1" ht="25.5">
      <c r="B9" s="44" t="s">
        <v>63</v>
      </c>
      <c r="C9" s="41">
        <v>41</v>
      </c>
      <c r="D9" s="41">
        <v>75</v>
      </c>
      <c r="E9" s="41">
        <v>72</v>
      </c>
      <c r="F9" s="41">
        <v>68</v>
      </c>
      <c r="G9" s="41">
        <v>72</v>
      </c>
      <c r="H9" s="41">
        <v>302</v>
      </c>
      <c r="I9" s="41">
        <v>576</v>
      </c>
      <c r="J9" s="41">
        <v>72</v>
      </c>
      <c r="K9" s="41">
        <v>0</v>
      </c>
      <c r="L9" s="41">
        <v>68</v>
      </c>
      <c r="M9" s="41">
        <v>84</v>
      </c>
      <c r="N9" s="41">
        <v>27</v>
      </c>
    </row>
    <row r="10" spans="2:15" s="45" customFormat="1" ht="13.5" thickBot="1">
      <c r="B10" s="46" t="s">
        <v>64</v>
      </c>
      <c r="C10" s="47">
        <f>C6*C9</f>
        <v>902</v>
      </c>
      <c r="D10" s="47">
        <f aca="true" t="shared" si="1" ref="D10:N10">D6*D9</f>
        <v>1500</v>
      </c>
      <c r="E10" s="47">
        <f t="shared" si="1"/>
        <v>1512</v>
      </c>
      <c r="F10" s="47">
        <f t="shared" si="1"/>
        <v>1496</v>
      </c>
      <c r="G10" s="47">
        <f t="shared" si="1"/>
        <v>1512</v>
      </c>
      <c r="H10" s="47">
        <f t="shared" si="1"/>
        <v>6040</v>
      </c>
      <c r="I10" s="47">
        <f t="shared" si="1"/>
        <v>12096</v>
      </c>
      <c r="J10" s="47">
        <f t="shared" si="1"/>
        <v>1512</v>
      </c>
      <c r="K10" s="47">
        <f t="shared" si="1"/>
        <v>0</v>
      </c>
      <c r="L10" s="47">
        <f t="shared" si="1"/>
        <v>1564</v>
      </c>
      <c r="M10" s="47">
        <f t="shared" si="1"/>
        <v>1512</v>
      </c>
      <c r="N10" s="47">
        <f t="shared" si="1"/>
        <v>594</v>
      </c>
      <c r="O10" s="47">
        <f>SUM(C10:N10)</f>
        <v>30240</v>
      </c>
    </row>
    <row r="12" ht="12.75">
      <c r="B12" s="42" t="s">
        <v>65</v>
      </c>
    </row>
    <row r="13" ht="12.75">
      <c r="B13" s="42"/>
    </row>
    <row r="14" ht="12.75">
      <c r="B14" s="42"/>
    </row>
    <row r="15" ht="12.75">
      <c r="B15" s="42"/>
    </row>
    <row r="17" spans="1:2" s="36" customFormat="1" ht="13.5" thickBot="1">
      <c r="A17" s="48"/>
      <c r="B17" s="64" t="s">
        <v>131</v>
      </c>
    </row>
    <row r="20" s="36" customFormat="1" ht="12.75">
      <c r="E20" s="36" t="s">
        <v>66</v>
      </c>
    </row>
    <row r="36" s="36" customFormat="1" ht="12.75"/>
    <row r="37" s="36" customFormat="1" ht="12.75"/>
    <row r="45" s="36" customFormat="1" ht="12.75">
      <c r="B45" s="63" t="s">
        <v>132</v>
      </c>
    </row>
    <row r="46" spans="2:12" s="36" customFormat="1" ht="13.5" thickBo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="36" customFormat="1" ht="12.75">
      <c r="B47" s="49" t="s">
        <v>115</v>
      </c>
    </row>
    <row r="48" s="36" customFormat="1" ht="12.75">
      <c r="B48" s="36" t="s">
        <v>67</v>
      </c>
    </row>
    <row r="50" spans="2:8" s="36" customFormat="1" ht="39" thickBot="1">
      <c r="B50" s="50" t="s">
        <v>68</v>
      </c>
      <c r="C50" s="50"/>
      <c r="D50" s="51" t="s">
        <v>116</v>
      </c>
      <c r="E50" s="51" t="s">
        <v>117</v>
      </c>
      <c r="F50" s="51" t="s">
        <v>118</v>
      </c>
      <c r="G50" s="51" t="s">
        <v>119</v>
      </c>
      <c r="H50" s="51" t="s">
        <v>120</v>
      </c>
    </row>
    <row r="51" spans="2:8" s="36" customFormat="1" ht="12.75">
      <c r="B51" s="52" t="s">
        <v>69</v>
      </c>
      <c r="D51" s="36">
        <v>252</v>
      </c>
      <c r="E51" s="53">
        <f>116*D51*8</f>
        <v>233856</v>
      </c>
      <c r="F51" s="54">
        <f>4.45*E51</f>
        <v>1040659.2000000001</v>
      </c>
      <c r="G51" s="54">
        <f>0.17*F51</f>
        <v>176912.064</v>
      </c>
      <c r="H51" s="54">
        <f>F51*0.2</f>
        <v>208131.84000000003</v>
      </c>
    </row>
    <row r="52" spans="1:8" ht="12.75">
      <c r="A52" s="36"/>
      <c r="B52" s="52" t="s">
        <v>70</v>
      </c>
      <c r="C52" s="36"/>
      <c r="D52" s="36">
        <v>252</v>
      </c>
      <c r="E52" s="53">
        <f>120*D52*8</f>
        <v>241920</v>
      </c>
      <c r="F52" s="55">
        <f>E52*4.03</f>
        <v>974937.6000000001</v>
      </c>
      <c r="G52" s="55">
        <f>F52*0.11</f>
        <v>107243.13600000001</v>
      </c>
      <c r="H52" s="55">
        <f>0.25*F52</f>
        <v>243734.40000000002</v>
      </c>
    </row>
    <row r="53" spans="2:9" ht="12.75">
      <c r="B53" s="56" t="s">
        <v>71</v>
      </c>
      <c r="F53" s="57">
        <f>SUM(F51+F52)</f>
        <v>2015596.8000000003</v>
      </c>
      <c r="G53" s="57">
        <f>SUM(G51+G52)</f>
        <v>284155.2</v>
      </c>
      <c r="H53" s="57">
        <f>SUM(H51+H52)</f>
        <v>451866.24000000005</v>
      </c>
      <c r="I53" s="57"/>
    </row>
    <row r="55" spans="1:2" s="36" customFormat="1" ht="12.75">
      <c r="A55" s="48"/>
      <c r="B55" s="49" t="s">
        <v>121</v>
      </c>
    </row>
    <row r="56" s="36" customFormat="1" ht="12.75">
      <c r="B56" s="36" t="s">
        <v>78</v>
      </c>
    </row>
    <row r="58" spans="2:9" s="36" customFormat="1" ht="39" thickBot="1">
      <c r="B58" s="50" t="s">
        <v>68</v>
      </c>
      <c r="C58" s="50"/>
      <c r="D58" s="51" t="s">
        <v>116</v>
      </c>
      <c r="E58" s="51" t="s">
        <v>117</v>
      </c>
      <c r="F58" s="51" t="s">
        <v>118</v>
      </c>
      <c r="G58" s="51" t="s">
        <v>119</v>
      </c>
      <c r="H58" s="51" t="s">
        <v>120</v>
      </c>
      <c r="I58" s="51" t="s">
        <v>72</v>
      </c>
    </row>
    <row r="59" spans="2:9" s="36" customFormat="1" ht="12.75">
      <c r="B59" s="36" t="s">
        <v>73</v>
      </c>
      <c r="D59" s="36">
        <v>252</v>
      </c>
      <c r="E59" s="53">
        <f>50*D59*8</f>
        <v>100800</v>
      </c>
      <c r="F59" s="54">
        <f>E59*4.45</f>
        <v>448560</v>
      </c>
      <c r="G59" s="54">
        <f>F59*0.17</f>
        <v>76255.20000000001</v>
      </c>
      <c r="H59" s="54">
        <f>F59*0.2</f>
        <v>89712</v>
      </c>
      <c r="I59" s="54">
        <v>1100000</v>
      </c>
    </row>
    <row r="60" spans="2:8" s="36" customFormat="1" ht="12.75">
      <c r="B60" s="36" t="s">
        <v>74</v>
      </c>
      <c r="H60" s="54"/>
    </row>
    <row r="61" spans="1:9" ht="12.75">
      <c r="A61" s="36"/>
      <c r="B61" s="36" t="s">
        <v>75</v>
      </c>
      <c r="C61" s="36"/>
      <c r="D61" s="36">
        <v>252</v>
      </c>
      <c r="E61" s="53">
        <f>120*8*D61</f>
        <v>241920</v>
      </c>
      <c r="F61" s="55">
        <f>E61*4.03</f>
        <v>974937.6000000001</v>
      </c>
      <c r="G61" s="55">
        <f>F61*0.11</f>
        <v>107243.13600000001</v>
      </c>
      <c r="H61" s="55">
        <f>F61*0.25</f>
        <v>243734.40000000002</v>
      </c>
      <c r="I61" s="55"/>
    </row>
    <row r="62" spans="2:10" ht="12.75">
      <c r="B62" s="48" t="s">
        <v>76</v>
      </c>
      <c r="F62" s="57">
        <f>SUM(F59:F61)</f>
        <v>1423497.6</v>
      </c>
      <c r="G62" s="57">
        <f>SUM(G59:G61)</f>
        <v>183498.336</v>
      </c>
      <c r="H62" s="57">
        <f>SUM(H59:H61)</f>
        <v>333446.4</v>
      </c>
      <c r="I62" s="57">
        <f>SUM(I59:I61)</f>
        <v>1100000</v>
      </c>
      <c r="J62" s="57"/>
    </row>
    <row r="64" spans="1:2" s="36" customFormat="1" ht="12.75">
      <c r="A64" s="48"/>
      <c r="B64" s="49" t="s">
        <v>122</v>
      </c>
    </row>
    <row r="65" s="36" customFormat="1" ht="12.75">
      <c r="B65" s="36" t="s">
        <v>77</v>
      </c>
    </row>
    <row r="67" spans="2:4" s="36" customFormat="1" ht="13.5" thickBot="1">
      <c r="B67" s="50" t="s">
        <v>68</v>
      </c>
      <c r="C67" s="50"/>
      <c r="D67" s="58" t="s">
        <v>72</v>
      </c>
    </row>
    <row r="68" s="36" customFormat="1" ht="12.75">
      <c r="B68" s="36" t="s">
        <v>79</v>
      </c>
    </row>
    <row r="69" s="36" customFormat="1" ht="12.75">
      <c r="B69" s="36" t="s">
        <v>80</v>
      </c>
    </row>
    <row r="70" spans="2:4" s="36" customFormat="1" ht="12.75">
      <c r="B70" s="36" t="s">
        <v>81</v>
      </c>
      <c r="D70" s="54">
        <v>1600000</v>
      </c>
    </row>
    <row r="71" spans="1:4" ht="12.75">
      <c r="A71" s="36"/>
      <c r="B71" s="36" t="s">
        <v>82</v>
      </c>
      <c r="C71" s="36"/>
      <c r="D71" s="55">
        <v>1850000</v>
      </c>
    </row>
    <row r="72" spans="2:4" ht="12.75">
      <c r="B72" s="59" t="s">
        <v>24</v>
      </c>
      <c r="D72" s="57">
        <f>SUM(D70:D71)</f>
        <v>3450000</v>
      </c>
    </row>
    <row r="75" spans="1:2" s="36" customFormat="1" ht="12.75">
      <c r="A75" s="48"/>
      <c r="B75" s="63" t="s">
        <v>138</v>
      </c>
    </row>
    <row r="77" spans="2:6" s="36" customFormat="1" ht="124.5" customHeight="1" thickBot="1">
      <c r="B77" s="37"/>
      <c r="C77" s="37"/>
      <c r="D77" s="60" t="s">
        <v>123</v>
      </c>
      <c r="E77" s="60" t="s">
        <v>124</v>
      </c>
      <c r="F77" s="60" t="s">
        <v>125</v>
      </c>
    </row>
    <row r="78" spans="2:6" s="36" customFormat="1" ht="12.75">
      <c r="B78" s="36" t="s">
        <v>83</v>
      </c>
      <c r="D78" s="54">
        <v>2015597</v>
      </c>
      <c r="E78" s="54">
        <v>1423498</v>
      </c>
      <c r="F78" s="61" t="s">
        <v>88</v>
      </c>
    </row>
    <row r="79" spans="2:6" s="36" customFormat="1" ht="12.75">
      <c r="B79" s="36" t="s">
        <v>84</v>
      </c>
      <c r="D79" s="54">
        <v>284155</v>
      </c>
      <c r="E79" s="54">
        <v>183498</v>
      </c>
      <c r="F79" s="61" t="s">
        <v>88</v>
      </c>
    </row>
    <row r="80" spans="2:6" s="36" customFormat="1" ht="12.75">
      <c r="B80" s="36" t="s">
        <v>85</v>
      </c>
      <c r="D80" s="54">
        <v>451867</v>
      </c>
      <c r="E80" s="54">
        <v>333447</v>
      </c>
      <c r="F80" s="61" t="s">
        <v>88</v>
      </c>
    </row>
    <row r="81" spans="2:6" s="36" customFormat="1" ht="12.75">
      <c r="B81" s="36" t="s">
        <v>86</v>
      </c>
      <c r="D81" s="61" t="s">
        <v>88</v>
      </c>
      <c r="E81" s="54">
        <v>1100000</v>
      </c>
      <c r="F81" s="54">
        <v>1600000</v>
      </c>
    </row>
    <row r="82" spans="1:6" ht="12.75">
      <c r="A82" s="36"/>
      <c r="B82" s="36" t="s">
        <v>87</v>
      </c>
      <c r="C82" s="36"/>
      <c r="D82" s="62" t="s">
        <v>88</v>
      </c>
      <c r="E82" s="62" t="s">
        <v>88</v>
      </c>
      <c r="F82" s="55">
        <v>1850000</v>
      </c>
    </row>
    <row r="83" spans="2:6" ht="12.75">
      <c r="B83" s="59" t="s">
        <v>23</v>
      </c>
      <c r="D83" s="57">
        <f>SUM(D78:D82)</f>
        <v>2751619</v>
      </c>
      <c r="E83" s="57">
        <f>SUM(E78:E82)</f>
        <v>3040443</v>
      </c>
      <c r="F83" s="57">
        <f>SUM(F78:F82)</f>
        <v>3450000</v>
      </c>
    </row>
  </sheetData>
  <printOptions/>
  <pageMargins left="0.75" right="0.75" top="1" bottom="1" header="0.5" footer="0.5"/>
  <pageSetup fitToHeight="3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12 - Exhibits</dc:subject>
  <dc:creator>Daniel J. Bragg</dc:creator>
  <cp:keywords/>
  <dc:description/>
  <cp:lastModifiedBy>Ordonez</cp:lastModifiedBy>
  <cp:lastPrinted>2003-02-28T15:22:42Z</cp:lastPrinted>
  <dcterms:created xsi:type="dcterms:W3CDTF">1997-05-05T18:32:53Z</dcterms:created>
  <dcterms:modified xsi:type="dcterms:W3CDTF">2005-01-20T16:17:49Z</dcterms:modified>
  <cp:category/>
  <cp:version/>
  <cp:contentType/>
  <cp:contentStatus/>
</cp:coreProperties>
</file>