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75" windowHeight="4965" activeTab="0"/>
  </bookViews>
  <sheets>
    <sheet name="Chapter 6" sheetId="1" r:id="rId1"/>
    <sheet name="Line Balancing" sheetId="2" r:id="rId2"/>
    <sheet name=" Distance" sheetId="3" r:id="rId3"/>
    <sheet name="Examples" sheetId="4" r:id="rId4"/>
    <sheet name="Solved Problems" sheetId="5" r:id="rId5"/>
  </sheets>
  <definedNames>
    <definedName name="input11a">'Line Balancing'!$C$5:$F$17</definedName>
    <definedName name="input11b">'Line Balancing'!$L$5</definedName>
    <definedName name="input11c">'Line Balancing'!$J$10:$O$14</definedName>
    <definedName name="input12a">' Distance'!$D$5,' Distance'!$D$5:$J$5,' Distance'!$E$6:$J$6,' Distance'!$F$7:$J$7,' Distance'!$G$8:$J$8,' Distance'!$H$9:$J$9,' Distance'!$I$10:$J$10,' Distance'!$J$11</definedName>
    <definedName name="input12b">' Distance'!$D$15:$J$15,' Distance'!$E$16:$J$16,' Distance'!$F$17:$J$17,' Distance'!$G$18:$J$18,' Distance'!$H$19:$J$19,' Distance'!$I$20:$J$20,' Distance'!$J$21</definedName>
    <definedName name="input12c">' Distance'!$C$16,' Distance'!$C$17:$D$17,' Distance'!$C$18:$E$18,' Distance'!$C$19:$F$19,' Distance'!$C$20:$G$20,' Distance'!$C$21:$H$21,' Distance'!$C$22:$I$22</definedName>
    <definedName name="input12d">' Distance'!$L$4:$S$4</definedName>
    <definedName name="_xlnm.Print_Area" localSheetId="2">' Distance'!$A$1:$V$24</definedName>
    <definedName name="_xlnm.Print_Area" localSheetId="1">'Line Balancing'!$A$1:$T$22</definedName>
  </definedNames>
  <calcPr fullCalcOnLoad="1"/>
</workbook>
</file>

<file path=xl/sharedStrings.xml><?xml version="1.0" encoding="utf-8"?>
<sst xmlns="http://schemas.openxmlformats.org/spreadsheetml/2006/main" count="321" uniqueCount="61">
  <si>
    <t>Step 1: Fill in predecessors and times</t>
  </si>
  <si>
    <t>Task</t>
  </si>
  <si>
    <t>Predecessors</t>
  </si>
  <si>
    <t>Time</t>
  </si>
  <si>
    <t>a</t>
  </si>
  <si>
    <t>b</t>
  </si>
  <si>
    <t>Cycle time</t>
  </si>
  <si>
    <t>c</t>
  </si>
  <si>
    <t>d</t>
  </si>
  <si>
    <t>Step 3: Assign tasks to stations</t>
  </si>
  <si>
    <t>e</t>
  </si>
  <si>
    <t>f</t>
  </si>
  <si>
    <t>g</t>
  </si>
  <si>
    <t>h</t>
  </si>
  <si>
    <t>i</t>
  </si>
  <si>
    <t>j</t>
  </si>
  <si>
    <t>Task Time</t>
  </si>
  <si>
    <t>k</t>
  </si>
  <si>
    <t>Idle Time</t>
  </si>
  <si>
    <t>l</t>
  </si>
  <si>
    <t>Percentage Idle Time</t>
  </si>
  <si>
    <t>Total task time =</t>
  </si>
  <si>
    <t>Efficiency</t>
  </si>
  <si>
    <t>Step 1: Enter distance between locations</t>
  </si>
  <si>
    <t>Step 2: Enter trips between workcenters</t>
  </si>
  <si>
    <t>To:</t>
  </si>
  <si>
    <t>A</t>
  </si>
  <si>
    <t>B</t>
  </si>
  <si>
    <t>C</t>
  </si>
  <si>
    <t>D</t>
  </si>
  <si>
    <t>E</t>
  </si>
  <si>
    <t>F</t>
  </si>
  <si>
    <t>G</t>
  </si>
  <si>
    <t>H</t>
  </si>
  <si>
    <t>Step 3: Assign workcenters to locations</t>
  </si>
  <si>
    <t>Total cost =</t>
  </si>
  <si>
    <t>Distance</t>
  </si>
  <si>
    <t>created by Lee Tangedahl, The University of Montana</t>
  </si>
  <si>
    <t>Copyright © 2001 by The McGraw Hill Companies, Inc.</t>
  </si>
  <si>
    <t>Templates:</t>
  </si>
  <si>
    <t>Examples</t>
  </si>
  <si>
    <t>Solved Problems</t>
  </si>
  <si>
    <t>Line Balancing</t>
  </si>
  <si>
    <t>Minimizing Transportation Distance</t>
  </si>
  <si>
    <t>Chapter Six - Process Design and Facility Layout</t>
  </si>
  <si>
    <t>Workflow</t>
  </si>
  <si>
    <t>m</t>
  </si>
  <si>
    <t>1.</t>
  </si>
  <si>
    <t>2.</t>
  </si>
  <si>
    <t>3.</t>
  </si>
  <si>
    <t>Chapter 6 - Examples</t>
  </si>
  <si>
    <t>Chapter 6 - Solved Problems</t>
  </si>
  <si>
    <t>I</t>
  </si>
  <si>
    <t/>
  </si>
  <si>
    <t xml:space="preserve">Station: </t>
  </si>
  <si>
    <t xml:space="preserve">CT = </t>
  </si>
  <si>
    <t>Note: Transportation cost $2 per foot.</t>
  </si>
  <si>
    <t>Step 2: Enter cycle time</t>
  </si>
  <si>
    <t>All rights Reserved.</t>
  </si>
  <si>
    <t>See Instructions template for complete instructions.</t>
  </si>
  <si>
    <r>
      <t xml:space="preserve">Templates to accompany </t>
    </r>
    <r>
      <rPr>
        <b/>
        <u val="single"/>
        <sz val="10"/>
        <rFont val="Arial"/>
        <family val="2"/>
      </rPr>
      <t>Operations Management</t>
    </r>
    <r>
      <rPr>
        <b/>
        <sz val="10"/>
        <rFont val="Arial"/>
        <family val="2"/>
      </rPr>
      <t>, Seventh Edition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</si>
</sst>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;;;"/>
    <numFmt numFmtId="167" formatCode="0.0%"/>
    <numFmt numFmtId="168" formatCode="0.0000"/>
    <numFmt numFmtId="169" formatCode="0.0"/>
    <numFmt numFmtId="170" formatCode="0.000_)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u val="single"/>
      <sz val="10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4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0" xfId="0" applyFont="1" applyAlignment="1" applyProtection="1" quotePrefix="1">
      <alignment horizontal="left"/>
      <protection hidden="1"/>
    </xf>
    <xf numFmtId="0" fontId="1" fillId="0" borderId="0" xfId="0" applyFont="1" applyAlignment="1" applyProtection="1">
      <alignment/>
      <protection hidden="1"/>
    </xf>
    <xf numFmtId="0" fontId="1" fillId="0" borderId="7" xfId="0" applyFont="1" applyBorder="1" applyAlignment="1" applyProtection="1" quotePrefix="1">
      <alignment horizontal="right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 quotePrefix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 quotePrefix="1">
      <alignment horizontal="center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4" xfId="0" applyFont="1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/>
      <protection hidden="1"/>
    </xf>
    <xf numFmtId="3" fontId="1" fillId="0" borderId="7" xfId="0" applyNumberFormat="1" applyFont="1" applyBorder="1" applyAlignment="1" applyProtection="1">
      <alignment horizontal="centerContinuous"/>
      <protection hidden="1"/>
    </xf>
    <xf numFmtId="0" fontId="0" fillId="0" borderId="9" xfId="0" applyBorder="1" applyAlignment="1" applyProtection="1">
      <alignment horizontal="centerContinuous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9" xfId="0" applyFont="1" applyFill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3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1" fillId="0" borderId="7" xfId="0" applyFont="1" applyBorder="1" applyAlignment="1" applyProtection="1" quotePrefix="1">
      <alignment horizontal="center"/>
      <protection hidden="1"/>
    </xf>
    <xf numFmtId="0" fontId="1" fillId="0" borderId="10" xfId="0" applyFont="1" applyBorder="1" applyAlignment="1" applyProtection="1" quotePrefix="1">
      <alignment horizontal="center"/>
      <protection hidden="1"/>
    </xf>
    <xf numFmtId="0" fontId="1" fillId="0" borderId="15" xfId="0" applyFont="1" applyFill="1" applyBorder="1" applyAlignment="1" applyProtection="1">
      <alignment horizontal="center"/>
      <protection hidden="1"/>
    </xf>
    <xf numFmtId="0" fontId="1" fillId="0" borderId="6" xfId="0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 quotePrefix="1">
      <alignment horizontal="left"/>
      <protection hidden="1"/>
    </xf>
    <xf numFmtId="0" fontId="1" fillId="0" borderId="8" xfId="0" applyFont="1" applyBorder="1" applyAlignment="1" applyProtection="1" quotePrefix="1">
      <alignment horizontal="centerContinuous"/>
      <protection hidden="1"/>
    </xf>
    <xf numFmtId="0" fontId="1" fillId="0" borderId="8" xfId="0" applyFont="1" applyBorder="1" applyAlignment="1" applyProtection="1">
      <alignment horizontal="centerContinuous"/>
      <protection hidden="1"/>
    </xf>
    <xf numFmtId="0" fontId="1" fillId="0" borderId="15" xfId="0" applyFont="1" applyBorder="1" applyAlignment="1" applyProtection="1" quotePrefix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left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 quotePrefix="1">
      <alignment horizontal="right"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6" xfId="0" applyFont="1" applyBorder="1" applyAlignment="1" quotePrefix="1">
      <alignment horizontal="center"/>
    </xf>
    <xf numFmtId="0" fontId="1" fillId="0" borderId="11" xfId="0" applyFont="1" applyBorder="1" applyAlignment="1" quotePrefix="1">
      <alignment horizontal="center"/>
    </xf>
    <xf numFmtId="0" fontId="1" fillId="0" borderId="13" xfId="0" applyFont="1" applyBorder="1" applyAlignment="1" quotePrefix="1">
      <alignment horizontal="center"/>
    </xf>
    <xf numFmtId="0" fontId="1" fillId="0" borderId="7" xfId="0" applyFont="1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hidden="1"/>
    </xf>
    <xf numFmtId="0" fontId="1" fillId="2" borderId="3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165" fontId="0" fillId="0" borderId="6" xfId="0" applyNumberFormat="1" applyBorder="1" applyAlignment="1" applyProtection="1">
      <alignment horizontal="left"/>
      <protection hidden="1"/>
    </xf>
    <xf numFmtId="165" fontId="0" fillId="0" borderId="11" xfId="0" applyNumberFormat="1" applyBorder="1" applyAlignment="1" applyProtection="1">
      <alignment horizontal="left"/>
      <protection hidden="1"/>
    </xf>
    <xf numFmtId="0" fontId="5" fillId="0" borderId="0" xfId="0" applyFont="1" applyBorder="1" applyAlignment="1" applyProtection="1" quotePrefix="1">
      <alignment horizontal="left"/>
      <protection hidden="1"/>
    </xf>
    <xf numFmtId="0" fontId="0" fillId="0" borderId="7" xfId="0" applyBorder="1" applyAlignment="1" applyProtection="1">
      <alignment/>
      <protection hidden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right"/>
    </xf>
    <xf numFmtId="0" fontId="0" fillId="0" borderId="13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2" xfId="0" applyBorder="1" applyAlignment="1" applyProtection="1">
      <alignment horizontal="centerContinuous"/>
      <protection hidden="1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8" xfId="0" applyFont="1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Continuous"/>
      <protection hidden="1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165" fontId="1" fillId="0" borderId="6" xfId="0" applyNumberFormat="1" applyFont="1" applyBorder="1" applyAlignment="1" applyProtection="1">
      <alignment horizontal="left"/>
      <protection hidden="1"/>
    </xf>
    <xf numFmtId="165" fontId="0" fillId="0" borderId="11" xfId="0" applyNumberFormat="1" applyBorder="1" applyAlignment="1" applyProtection="1">
      <alignment/>
      <protection hidden="1"/>
    </xf>
    <xf numFmtId="0" fontId="0" fillId="0" borderId="4" xfId="0" applyBorder="1" applyAlignment="1" applyProtection="1">
      <alignment horizontal="centerContinuous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0" fillId="0" borderId="6" xfId="0" applyFont="1" applyBorder="1" applyAlignment="1" applyProtection="1">
      <alignment horizontal="center"/>
      <protection hidden="1"/>
    </xf>
    <xf numFmtId="0" fontId="0" fillId="0" borderId="1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0" fillId="0" borderId="4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2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7" xfId="0" applyFont="1" applyBorder="1" applyAlignment="1" applyProtection="1">
      <alignment horizontal="center"/>
      <protection hidden="1"/>
    </xf>
    <xf numFmtId="0" fontId="0" fillId="0" borderId="9" xfId="0" applyFont="1" applyBorder="1" applyAlignment="1" applyProtection="1">
      <alignment/>
      <protection hidden="1"/>
    </xf>
    <xf numFmtId="0" fontId="1" fillId="0" borderId="3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/>
      <protection hidden="1"/>
    </xf>
    <xf numFmtId="167" fontId="1" fillId="0" borderId="0" xfId="0" applyNumberFormat="1" applyFont="1" applyBorder="1" applyAlignment="1" applyProtection="1">
      <alignment horizontal="centerContinuous"/>
      <protection hidden="1"/>
    </xf>
    <xf numFmtId="0" fontId="0" fillId="0" borderId="10" xfId="0" applyBorder="1" applyAlignment="1" applyProtection="1">
      <alignment/>
      <protection hidden="1" locked="0"/>
    </xf>
    <xf numFmtId="0" fontId="0" fillId="0" borderId="11" xfId="0" applyBorder="1" applyAlignment="1" applyProtection="1">
      <alignment/>
      <protection hidden="1" locked="0"/>
    </xf>
    <xf numFmtId="0" fontId="1" fillId="0" borderId="1" xfId="0" applyFont="1" applyBorder="1" applyAlignment="1" applyProtection="1">
      <alignment horizontal="center"/>
      <protection hidden="1" locked="0"/>
    </xf>
    <xf numFmtId="0" fontId="1" fillId="0" borderId="0" xfId="0" applyFont="1" applyBorder="1" applyAlignment="1" applyProtection="1">
      <alignment horizontal="center"/>
      <protection hidden="1" locked="0"/>
    </xf>
    <xf numFmtId="0" fontId="1" fillId="0" borderId="1" xfId="0" applyFont="1" applyFill="1" applyBorder="1" applyAlignment="1" applyProtection="1">
      <alignment horizontal="center"/>
      <protection hidden="1" locked="0"/>
    </xf>
    <xf numFmtId="0" fontId="1" fillId="0" borderId="0" xfId="0" applyFont="1" applyFill="1" applyBorder="1" applyAlignment="1" applyProtection="1">
      <alignment horizontal="center"/>
      <protection hidden="1" locked="0"/>
    </xf>
    <xf numFmtId="0" fontId="0" fillId="0" borderId="13" xfId="0" applyBorder="1" applyAlignment="1" applyProtection="1">
      <alignment/>
      <protection hidden="1" locked="0"/>
    </xf>
    <xf numFmtId="0" fontId="1" fillId="0" borderId="5" xfId="0" applyFont="1" applyFill="1" applyBorder="1" applyAlignment="1" applyProtection="1">
      <alignment horizontal="center"/>
      <protection hidden="1" locked="0"/>
    </xf>
    <xf numFmtId="0" fontId="1" fillId="0" borderId="9" xfId="0" applyFont="1" applyFill="1" applyBorder="1" applyAlignment="1" applyProtection="1">
      <alignment horizontal="center"/>
      <protection hidden="1" locked="0"/>
    </xf>
    <xf numFmtId="0" fontId="1" fillId="0" borderId="15" xfId="0" applyFont="1" applyFill="1" applyBorder="1" applyAlignment="1" applyProtection="1">
      <alignment horizontal="center"/>
      <protection hidden="1" locked="0"/>
    </xf>
    <xf numFmtId="10" fontId="1" fillId="0" borderId="11" xfId="0" applyNumberFormat="1" applyFont="1" applyBorder="1" applyAlignment="1" applyProtection="1">
      <alignment horizontal="centerContinuous"/>
      <protection hidden="1"/>
    </xf>
    <xf numFmtId="10" fontId="1" fillId="0" borderId="13" xfId="0" applyNumberFormat="1" applyFont="1" applyBorder="1" applyAlignment="1" applyProtection="1">
      <alignment horizontal="centerContinuous"/>
      <protection hidden="1"/>
    </xf>
    <xf numFmtId="0" fontId="1" fillId="0" borderId="7" xfId="0" applyFont="1" applyBorder="1" applyAlignment="1" applyProtection="1" quotePrefix="1">
      <alignment horizontal="left"/>
      <protection hidden="1"/>
    </xf>
    <xf numFmtId="0" fontId="1" fillId="0" borderId="9" xfId="0" applyFont="1" applyBorder="1" applyAlignment="1" applyProtection="1">
      <alignment horizontal="right"/>
      <protection hidden="1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hidden="1" locked="0"/>
    </xf>
    <xf numFmtId="0" fontId="1" fillId="2" borderId="0" xfId="0" applyFont="1" applyFill="1" applyBorder="1" applyAlignment="1" applyProtection="1">
      <alignment horizontal="center"/>
      <protection hidden="1" locked="0"/>
    </xf>
    <xf numFmtId="0" fontId="1" fillId="2" borderId="4" xfId="0" applyFont="1" applyFill="1" applyBorder="1" applyAlignment="1" applyProtection="1">
      <alignment horizontal="center"/>
      <protection hidden="1" locked="0"/>
    </xf>
    <xf numFmtId="0" fontId="8" fillId="0" borderId="0" xfId="20" applyAlignment="1" applyProtection="1">
      <alignment horizontal="left"/>
      <protection/>
    </xf>
    <xf numFmtId="0" fontId="8" fillId="0" borderId="0" xfId="20" applyAlignment="1">
      <alignment/>
    </xf>
    <xf numFmtId="0" fontId="8" fillId="0" borderId="0" xfId="20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075"/>
          <c:w val="0.9515"/>
          <c:h val="0.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'Line Balancing'!$H$15</c:f>
              <c:strCache>
                <c:ptCount val="1"/>
                <c:pt idx="0">
                  <c:v>Task Time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Balancing'!$J$9:$O$9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'Line Balancing'!$J$15:$O$15</c:f>
              <c:numCache>
                <c:ptCount val="6"/>
                <c:pt idx="0">
                  <c:v>0.7999999999999999</c:v>
                </c:pt>
                <c:pt idx="1">
                  <c:v>1</c:v>
                </c:pt>
                <c:pt idx="2">
                  <c:v>0.7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5369601"/>
        <c:axId val="49890954"/>
      </c:barChart>
      <c:lineChart>
        <c:grouping val="standard"/>
        <c:varyColors val="0"/>
        <c:ser>
          <c:idx val="0"/>
          <c:order val="1"/>
          <c:tx>
            <c:strRef>
              <c:f>'Line Balancing'!$H$5</c:f>
              <c:strCache>
                <c:ptCount val="1"/>
                <c:pt idx="0">
                  <c:v>Cycle time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'Line Balancing'!$Y$2:$AD$2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46365403"/>
        <c:axId val="14635444"/>
      </c:lineChart>
      <c:catAx>
        <c:axId val="35369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9890954"/>
        <c:crosses val="autoZero"/>
        <c:auto val="0"/>
        <c:lblOffset val="100"/>
        <c:tickLblSkip val="1"/>
        <c:noMultiLvlLbl val="0"/>
      </c:catAx>
      <c:valAx>
        <c:axId val="498909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5369601"/>
        <c:crossesAt val="1"/>
        <c:crossBetween val="between"/>
        <c:dispUnits/>
      </c:valAx>
      <c:catAx>
        <c:axId val="46365403"/>
        <c:scaling>
          <c:orientation val="minMax"/>
        </c:scaling>
        <c:axPos val="b"/>
        <c:delete val="1"/>
        <c:majorTickMark val="in"/>
        <c:minorTickMark val="none"/>
        <c:tickLblPos val="nextTo"/>
        <c:crossAx val="14635444"/>
        <c:crosses val="autoZero"/>
        <c:auto val="0"/>
        <c:lblOffset val="100"/>
        <c:tickLblSkip val="1"/>
        <c:noMultiLvlLbl val="0"/>
      </c:catAx>
      <c:valAx>
        <c:axId val="14635444"/>
        <c:scaling>
          <c:orientation val="minMax"/>
        </c:scaling>
        <c:axPos val="l"/>
        <c:delete val="1"/>
        <c:majorTickMark val="in"/>
        <c:minorTickMark val="none"/>
        <c:tickLblPos val="nextTo"/>
        <c:crossAx val="463654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575"/>
          <c:y val="0.852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0.70675</cdr:x>
      <cdr:y>0.20775</cdr:y>
    </cdr:from>
    <cdr:to>
      <cdr:x>0.709</cdr:x>
      <cdr:y>0.24375</cdr:y>
    </cdr:to>
    <cdr:sp>
      <cdr:nvSpPr>
        <cdr:cNvPr id="1" name="TextBox 1"/>
        <cdr:cNvSpPr txBox="1">
          <a:spLocks noChangeArrowheads="1"/>
        </cdr:cNvSpPr>
      </cdr:nvSpPr>
      <cdr:spPr>
        <a:xfrm>
          <a:off x="1162050" y="657225"/>
          <a:ext cx="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42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2</xdr:row>
      <xdr:rowOff>0</xdr:rowOff>
    </xdr:from>
    <xdr:to>
      <xdr:col>19</xdr:col>
      <xdr:colOff>314325</xdr:colOff>
      <xdr:row>20</xdr:row>
      <xdr:rowOff>152400</xdr:rowOff>
    </xdr:to>
    <xdr:graphicFrame>
      <xdr:nvGraphicFramePr>
        <xdr:cNvPr id="1" name="Chart 2"/>
        <xdr:cNvGraphicFramePr/>
      </xdr:nvGraphicFramePr>
      <xdr:xfrm>
        <a:off x="5457825" y="342900"/>
        <a:ext cx="16573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95250</xdr:colOff>
      <xdr:row>0</xdr:row>
      <xdr:rowOff>57150</xdr:rowOff>
    </xdr:from>
    <xdr:to>
      <xdr:col>5</xdr:col>
      <xdr:colOff>266700</xdr:colOff>
      <xdr:row>1</xdr:row>
      <xdr:rowOff>133350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57150"/>
          <a:ext cx="542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104775</xdr:colOff>
      <xdr:row>0</xdr:row>
      <xdr:rowOff>85725</xdr:rowOff>
    </xdr:from>
    <xdr:to>
      <xdr:col>9</xdr:col>
      <xdr:colOff>276225</xdr:colOff>
      <xdr:row>1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85725"/>
          <a:ext cx="542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D20"/>
  <sheetViews>
    <sheetView tabSelected="1" workbookViewId="0" topLeftCell="A1">
      <selection activeCell="B1" sqref="B1"/>
    </sheetView>
  </sheetViews>
  <sheetFormatPr defaultColWidth="9.140625" defaultRowHeight="12.75"/>
  <cols>
    <col min="1" max="1" width="2.7109375" style="0" customWidth="1"/>
    <col min="2" max="2" width="6.7109375" style="0" customWidth="1"/>
    <col min="3" max="3" width="16.7109375" style="0" customWidth="1"/>
    <col min="4" max="4" width="62.28125" style="0" customWidth="1"/>
    <col min="5" max="5" width="2.7109375" style="0" customWidth="1"/>
  </cols>
  <sheetData>
    <row r="1" spans="2:4" ht="12.75">
      <c r="B1" s="3" t="s">
        <v>60</v>
      </c>
      <c r="C1" s="4"/>
      <c r="D1" s="4"/>
    </row>
    <row r="2" spans="2:4" ht="12.75">
      <c r="B2" s="3" t="s">
        <v>37</v>
      </c>
      <c r="C2" s="4"/>
      <c r="D2" s="4"/>
    </row>
    <row r="3" spans="2:4" ht="12.75">
      <c r="B3" s="3" t="s">
        <v>38</v>
      </c>
      <c r="C3" s="4"/>
      <c r="D3" s="4"/>
    </row>
    <row r="4" spans="2:4" ht="12.75">
      <c r="B4" s="3" t="s">
        <v>58</v>
      </c>
      <c r="C4" s="4"/>
      <c r="D4" s="4"/>
    </row>
    <row r="5" spans="2:4" ht="12.75">
      <c r="B5" s="3"/>
      <c r="C5" s="4"/>
      <c r="D5" s="4"/>
    </row>
    <row r="7" ht="12.75">
      <c r="B7" s="5" t="s">
        <v>44</v>
      </c>
    </row>
    <row r="9" spans="3:4" ht="12.75">
      <c r="C9" s="5" t="s">
        <v>39</v>
      </c>
      <c r="D9" s="153" t="s">
        <v>42</v>
      </c>
    </row>
    <row r="10" spans="3:4" ht="12.75">
      <c r="C10" s="5"/>
      <c r="D10" s="153" t="s">
        <v>43</v>
      </c>
    </row>
    <row r="12" ht="12.75">
      <c r="C12" s="154" t="s">
        <v>40</v>
      </c>
    </row>
    <row r="14" ht="12.75">
      <c r="C14" s="154" t="s">
        <v>41</v>
      </c>
    </row>
    <row r="16" ht="12.75">
      <c r="C16" s="155"/>
    </row>
    <row r="18" spans="2:3" ht="12.75">
      <c r="B18" s="5" t="s">
        <v>59</v>
      </c>
      <c r="C18" s="5"/>
    </row>
    <row r="20" ht="12.75">
      <c r="C20" s="5"/>
    </row>
  </sheetData>
  <sheetProtection password="A753" sheet="1" objects="1" scenarios="1"/>
  <hyperlinks>
    <hyperlink ref="D9" location="'Line Balancing'!A1" display="Line Balancing"/>
    <hyperlink ref="D10" location="' Distance'!A1" display="Minimizing Transportation Distance"/>
    <hyperlink ref="C12" location="Examples!A1" display="Examples"/>
    <hyperlink ref="C14" location="'Solved Problems'!A1" display="Solved Problems"/>
  </hyperlink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AD35"/>
  <sheetViews>
    <sheetView workbookViewId="0" topLeftCell="A1">
      <selection activeCell="O2" sqref="O2"/>
    </sheetView>
  </sheetViews>
  <sheetFormatPr defaultColWidth="9.140625" defaultRowHeight="12.75"/>
  <cols>
    <col min="1" max="1" width="1.7109375" style="14" customWidth="1"/>
    <col min="2" max="19" width="5.57421875" style="14" customWidth="1"/>
    <col min="20" max="20" width="5.7109375" style="14" customWidth="1"/>
    <col min="21" max="23" width="5.28125" style="14" customWidth="1"/>
    <col min="24" max="25" width="5.7109375" style="14" customWidth="1"/>
    <col min="26" max="16384" width="9.140625" style="14" customWidth="1"/>
  </cols>
  <sheetData>
    <row r="1" spans="1:26" ht="13.5" thickBot="1">
      <c r="A1" s="13" t="s">
        <v>42</v>
      </c>
      <c r="B1" s="54"/>
      <c r="C1" s="54"/>
      <c r="D1" s="54"/>
      <c r="E1" s="54"/>
      <c r="F1" s="54"/>
      <c r="P1" s="25"/>
      <c r="Q1" s="25"/>
      <c r="R1" s="25"/>
      <c r="S1" s="25"/>
      <c r="T1" s="25"/>
      <c r="U1" s="25"/>
      <c r="V1" s="25"/>
      <c r="Z1" s="91"/>
    </row>
    <row r="2" spans="1:30" ht="13.5" thickBot="1">
      <c r="A2" s="54"/>
      <c r="B2" s="54"/>
      <c r="C2" s="54"/>
      <c r="D2" s="54"/>
      <c r="E2" s="54"/>
      <c r="F2" s="54"/>
      <c r="T2" s="25"/>
      <c r="U2" s="25"/>
      <c r="V2" s="25"/>
      <c r="Y2" s="92">
        <f aca="true" t="shared" si="0" ref="Y2:AD2">$L$5</f>
        <v>1</v>
      </c>
      <c r="Z2" s="32">
        <f t="shared" si="0"/>
        <v>1</v>
      </c>
      <c r="AA2" s="32">
        <f t="shared" si="0"/>
        <v>1</v>
      </c>
      <c r="AB2" s="32">
        <f t="shared" si="0"/>
        <v>1</v>
      </c>
      <c r="AC2" s="32">
        <f t="shared" si="0"/>
        <v>1</v>
      </c>
      <c r="AD2" s="33">
        <f t="shared" si="0"/>
        <v>1</v>
      </c>
    </row>
    <row r="3" spans="1:22" ht="13.5" thickBot="1">
      <c r="A3" s="18" t="s">
        <v>0</v>
      </c>
      <c r="T3" s="25"/>
      <c r="U3" s="25"/>
      <c r="V3" s="25"/>
    </row>
    <row r="4" spans="2:8" ht="13.5" thickBot="1">
      <c r="B4" s="36" t="s">
        <v>1</v>
      </c>
      <c r="C4" s="55" t="s">
        <v>2</v>
      </c>
      <c r="D4" s="56"/>
      <c r="E4" s="56"/>
      <c r="F4" s="57" t="s">
        <v>3</v>
      </c>
      <c r="H4" s="19" t="s">
        <v>57</v>
      </c>
    </row>
    <row r="5" spans="2:30" ht="13.5" thickBot="1">
      <c r="B5" s="36" t="s">
        <v>4</v>
      </c>
      <c r="C5" s="84"/>
      <c r="D5" s="6"/>
      <c r="E5" s="7"/>
      <c r="F5" s="81">
        <v>0.1</v>
      </c>
      <c r="H5" s="147" t="s">
        <v>6</v>
      </c>
      <c r="I5" s="32"/>
      <c r="J5" s="32"/>
      <c r="K5" s="148" t="s">
        <v>55</v>
      </c>
      <c r="L5" s="149">
        <v>1</v>
      </c>
      <c r="W5" s="25"/>
      <c r="X5" s="25"/>
      <c r="Y5" s="25"/>
      <c r="Z5" s="127" t="s">
        <v>4</v>
      </c>
      <c r="AA5" s="124" t="b">
        <f aca="true" t="shared" si="1" ref="AA5:AA17">AND(ISNUMBER(F5),ISNA(MATCH(B5,$AC$5:$AC$35,0)),ISNUMBER(MATCH(C5,$AC$5:$AC$35,0)),ISNUMBER(MATCH(D5,$AC$5:$AC$35,0)),ISNUMBER(MATCH(E5,$AC$5:$AC$35,0)))</f>
        <v>0</v>
      </c>
      <c r="AC5" s="130">
        <v>0</v>
      </c>
      <c r="AD5" s="131"/>
    </row>
    <row r="6" spans="2:30" ht="12.75">
      <c r="B6" s="58" t="s">
        <v>5</v>
      </c>
      <c r="C6" s="72" t="s">
        <v>4</v>
      </c>
      <c r="D6" s="8"/>
      <c r="E6" s="9"/>
      <c r="F6" s="82">
        <v>1</v>
      </c>
      <c r="W6" s="25"/>
      <c r="X6" s="25"/>
      <c r="Y6" s="25"/>
      <c r="Z6" s="128" t="s">
        <v>5</v>
      </c>
      <c r="AA6" s="125" t="b">
        <f t="shared" si="1"/>
        <v>0</v>
      </c>
      <c r="AC6" s="118" t="str">
        <f>IF(ISBLANK(J10),"empty",J10)</f>
        <v>a</v>
      </c>
      <c r="AD6" s="119" t="b">
        <f>OR(ISNA(MATCH(VLOOKUP(J10,$B$5:$E$17,2),$AC$5,0)),ISNA(MATCH(VLOOKUP(J10,$B$5:$E$17,3),$AC$5,0)),ISNA(MATCH(VLOOKUP(J10,$B$5:$E$17,4),$AC$5,0)))</f>
        <v>0</v>
      </c>
    </row>
    <row r="7" spans="2:30" ht="12.75">
      <c r="B7" s="58" t="s">
        <v>7</v>
      </c>
      <c r="C7" s="72"/>
      <c r="D7" s="8"/>
      <c r="E7" s="9"/>
      <c r="F7" s="82">
        <v>0.7</v>
      </c>
      <c r="W7" s="25"/>
      <c r="X7" s="25"/>
      <c r="Y7" s="25"/>
      <c r="Z7" s="128" t="s">
        <v>7</v>
      </c>
      <c r="AA7" s="125" t="b">
        <f t="shared" si="1"/>
        <v>0</v>
      </c>
      <c r="AC7" s="120" t="str">
        <f>IF(ISBLANK(J11),"empty",J11)</f>
        <v>c</v>
      </c>
      <c r="AD7" s="121" t="b">
        <f>OR(ISNA(MATCH(VLOOKUP(J11,$B$5:$E$17,2),$AC$5:$AC$6,0)),ISNA(MATCH(VLOOKUP(J11,$B$5:$E$17,3),$AC$5:$AC$6,0)),ISNA(MATCH(VLOOKUP(J11,$B$5:$E$17,4),$AC$5:$AC$6,0)))</f>
        <v>0</v>
      </c>
    </row>
    <row r="8" spans="2:30" ht="13.5" thickBot="1">
      <c r="B8" s="58" t="s">
        <v>8</v>
      </c>
      <c r="C8" s="72" t="s">
        <v>5</v>
      </c>
      <c r="D8" s="8" t="s">
        <v>7</v>
      </c>
      <c r="E8" s="9"/>
      <c r="F8" s="82">
        <v>0.5</v>
      </c>
      <c r="H8" s="18" t="s">
        <v>9</v>
      </c>
      <c r="W8" s="25"/>
      <c r="X8" s="25"/>
      <c r="Y8" s="25"/>
      <c r="Z8" s="128" t="s">
        <v>8</v>
      </c>
      <c r="AA8" s="125" t="b">
        <f t="shared" si="1"/>
        <v>0</v>
      </c>
      <c r="AC8" s="120" t="str">
        <f>IF(ISBLANK(J12),"empty",J12)</f>
        <v>empty</v>
      </c>
      <c r="AD8" s="121" t="b">
        <f>OR(ISNA(MATCH(VLOOKUP(J12,$B$5:$E$17,2),$AC$5:$AC$7,0)),ISNA(MATCH(VLOOKUP(J12,$B$5:$E$17,3),$AC$5:$AC$7,0)),ISNA(MATCH(VLOOKUP(J12,$B$5:$E$17,4),$AC$5:$AC$7,0)))</f>
        <v>1</v>
      </c>
    </row>
    <row r="9" spans="2:30" ht="13.5" thickBot="1">
      <c r="B9" s="58" t="s">
        <v>10</v>
      </c>
      <c r="C9" s="72" t="s">
        <v>8</v>
      </c>
      <c r="D9" s="8"/>
      <c r="E9" s="9"/>
      <c r="F9" s="82">
        <v>0.2</v>
      </c>
      <c r="H9" s="114"/>
      <c r="I9" s="132" t="s">
        <v>54</v>
      </c>
      <c r="J9" s="15">
        <v>1</v>
      </c>
      <c r="K9" s="16">
        <v>2</v>
      </c>
      <c r="L9" s="16">
        <v>3</v>
      </c>
      <c r="M9" s="16">
        <v>4</v>
      </c>
      <c r="N9" s="16">
        <v>5</v>
      </c>
      <c r="O9" s="17">
        <v>6</v>
      </c>
      <c r="Y9" s="25"/>
      <c r="Z9" s="128" t="s">
        <v>10</v>
      </c>
      <c r="AA9" s="125" t="b">
        <f t="shared" si="1"/>
        <v>0</v>
      </c>
      <c r="AC9" s="120" t="str">
        <f>IF(ISBLANK(J13),"empty",J13)</f>
        <v>empty</v>
      </c>
      <c r="AD9" s="121" t="b">
        <f>OR(ISNA(MATCH(VLOOKUP(J13,$B$5:$E$17,2),$AC$5:$AC$8,0)),ISNA(MATCH(VLOOKUP(J13,$B$5:$E$17,3),$AC$5:$AC$8,0)),ISNA(MATCH(VLOOKUP(J13,$B$5:$E$17,4),$AC$5:$AC$8,0)))</f>
        <v>1</v>
      </c>
    </row>
    <row r="10" spans="2:30" ht="13.5" thickBot="1">
      <c r="B10" s="58" t="s">
        <v>11</v>
      </c>
      <c r="C10" s="72"/>
      <c r="D10" s="8"/>
      <c r="E10" s="9"/>
      <c r="F10" s="82"/>
      <c r="H10" s="89"/>
      <c r="I10" s="40"/>
      <c r="J10" s="112" t="s">
        <v>4</v>
      </c>
      <c r="K10" s="86" t="s">
        <v>5</v>
      </c>
      <c r="L10" s="86" t="s">
        <v>8</v>
      </c>
      <c r="M10" s="86"/>
      <c r="N10" s="86"/>
      <c r="O10" s="87"/>
      <c r="Y10" s="25"/>
      <c r="Z10" s="128" t="s">
        <v>11</v>
      </c>
      <c r="AA10" s="125" t="b">
        <f t="shared" si="1"/>
        <v>0</v>
      </c>
      <c r="AC10" s="122" t="str">
        <f>IF(ISBLANK(J14),"empty",J14)</f>
        <v>empty</v>
      </c>
      <c r="AD10" s="123" t="b">
        <f>OR(ISNA(MATCH(VLOOKUP(J14,$B$5:$E$17,2),$AC$5:$AC$8,0)),ISNA(MATCH(VLOOKUP(J14,$B$5:$E$17,3),$AC$5:$AC$8,0)),ISNA(MATCH(VLOOKUP(J14,$B$5:$E$17,4),$AC$5:$AC$8,0)))</f>
        <v>1</v>
      </c>
    </row>
    <row r="11" spans="2:30" ht="12.75">
      <c r="B11" s="58" t="s">
        <v>12</v>
      </c>
      <c r="C11" s="72"/>
      <c r="D11" s="8"/>
      <c r="E11" s="9"/>
      <c r="F11" s="82"/>
      <c r="H11" s="90"/>
      <c r="I11" s="25"/>
      <c r="J11" s="113" t="s">
        <v>7</v>
      </c>
      <c r="K11" s="12"/>
      <c r="L11" s="12" t="s">
        <v>10</v>
      </c>
      <c r="M11" s="12"/>
      <c r="N11" s="12"/>
      <c r="O11" s="88"/>
      <c r="Y11" s="25"/>
      <c r="Z11" s="128" t="s">
        <v>12</v>
      </c>
      <c r="AA11" s="125" t="b">
        <f t="shared" si="1"/>
        <v>0</v>
      </c>
      <c r="AC11" s="118" t="str">
        <f>IF(ISBLANK(K10),"empty",K10)</f>
        <v>b</v>
      </c>
      <c r="AD11" s="119" t="b">
        <f>OR(ISNA(MATCH(VLOOKUP(K10,$B$5:$E$17,2),$AC$5:$AC$9,0)),ISNA(MATCH(VLOOKUP(K10,$B$5:$E$17,3),$AC$5:$AC$9,0)),ISNA(MATCH(VLOOKUP(K10,$B$5:$E$17,4),$AC$5:$AC$9,0)))</f>
        <v>0</v>
      </c>
    </row>
    <row r="12" spans="2:30" ht="12.75">
      <c r="B12" s="58" t="s">
        <v>13</v>
      </c>
      <c r="C12" s="72"/>
      <c r="D12" s="8"/>
      <c r="E12" s="9"/>
      <c r="F12" s="82"/>
      <c r="H12" s="31"/>
      <c r="I12" s="25"/>
      <c r="J12" s="113"/>
      <c r="K12" s="12"/>
      <c r="L12" s="12"/>
      <c r="M12" s="12"/>
      <c r="N12" s="12"/>
      <c r="O12" s="88"/>
      <c r="Y12" s="25"/>
      <c r="Z12" s="128" t="s">
        <v>13</v>
      </c>
      <c r="AA12" s="125" t="b">
        <f t="shared" si="1"/>
        <v>0</v>
      </c>
      <c r="AC12" s="120" t="str">
        <f>IF(ISBLANK(K11),"empty",K11)</f>
        <v>empty</v>
      </c>
      <c r="AD12" s="121" t="b">
        <f>OR(ISNA(MATCH(VLOOKUP(K11,$B$5:$E$17,2),$AC$5:$AC$11,0)),ISNA(MATCH(VLOOKUP(K11,$B$5:$E$17,3),$AC$5:$AC$11,0)),ISNA(MATCH(VLOOKUP(K11,$B$5:$E$17,4),$AC$5:$AC$11,0)))</f>
        <v>1</v>
      </c>
    </row>
    <row r="13" spans="2:30" ht="12.75">
      <c r="B13" s="58" t="s">
        <v>14</v>
      </c>
      <c r="C13" s="72"/>
      <c r="D13" s="8"/>
      <c r="E13" s="9"/>
      <c r="F13" s="82"/>
      <c r="H13" s="115"/>
      <c r="I13" s="25"/>
      <c r="J13" s="113"/>
      <c r="K13" s="12"/>
      <c r="L13" s="12"/>
      <c r="M13" s="12"/>
      <c r="N13" s="12"/>
      <c r="O13" s="88"/>
      <c r="Y13" s="25"/>
      <c r="Z13" s="128" t="s">
        <v>14</v>
      </c>
      <c r="AA13" s="125" t="b">
        <f t="shared" si="1"/>
        <v>0</v>
      </c>
      <c r="AC13" s="120" t="str">
        <f>IF(ISBLANK(K12),"empty",K12)</f>
        <v>empty</v>
      </c>
      <c r="AD13" s="121" t="b">
        <f>OR(ISNA(MATCH(VLOOKUP(K12,$B$5:$E$17,2),$AC$5:$AC$12,0)),ISNA(MATCH(VLOOKUP(K12,$B$5:$E$17,3),$AC$5:$AC$12,0)),ISNA(MATCH(VLOOKUP(K12,$B$5:$E$17,4),$AC$5:$AC$12,0)))</f>
        <v>1</v>
      </c>
    </row>
    <row r="14" spans="2:30" ht="13.5" thickBot="1">
      <c r="B14" s="58" t="s">
        <v>15</v>
      </c>
      <c r="C14" s="72"/>
      <c r="D14" s="8"/>
      <c r="E14" s="9"/>
      <c r="F14" s="82"/>
      <c r="H14" s="96"/>
      <c r="I14" s="38"/>
      <c r="J14" s="72"/>
      <c r="K14" s="8"/>
      <c r="L14" s="8"/>
      <c r="M14" s="8"/>
      <c r="N14" s="8"/>
      <c r="O14" s="9"/>
      <c r="Y14" s="25"/>
      <c r="Z14" s="128" t="s">
        <v>15</v>
      </c>
      <c r="AA14" s="125" t="b">
        <f t="shared" si="1"/>
        <v>0</v>
      </c>
      <c r="AC14" s="120" t="str">
        <f>IF(ISBLANK(K13),"empty",K13)</f>
        <v>empty</v>
      </c>
      <c r="AD14" s="121" t="b">
        <f>OR(ISNA(MATCH(VLOOKUP(K13,$B$5:$E$17,2),$AC$5:$AC$13,0)),ISNA(MATCH(VLOOKUP(K13,$B$5:$E$17,3),$AC$5:$AC$13,0)),ISNA(MATCH(VLOOKUP(K13,$B$5:$E$17,4),$AC$5:$AC$13,0)))</f>
        <v>1</v>
      </c>
    </row>
    <row r="15" spans="2:30" ht="13.5" thickBot="1">
      <c r="B15" s="58" t="s">
        <v>17</v>
      </c>
      <c r="C15" s="72"/>
      <c r="D15" s="8"/>
      <c r="E15" s="9"/>
      <c r="F15" s="82"/>
      <c r="H15" s="62" t="s">
        <v>16</v>
      </c>
      <c r="J15" s="59">
        <f aca="true" t="shared" si="2" ref="J15:O15">IF(ISBLANK(J10),0,VLOOKUP(J10,$B$5:$F$17,5))+IF(ISBLANK(J11),0,VLOOKUP(J11,$B$5:$F$17,5))+IF(ISBLANK(J12),0,VLOOKUP(J12,$B$5:$F$17,5))+IF(ISBLANK(J13),0,VLOOKUP(J13,$B$5:$F$17,5)+IF(ISBLANK(J14),0,VLOOKUP(J14,$B$5:$F$17,5)))</f>
        <v>0.7999999999999999</v>
      </c>
      <c r="K15" s="60">
        <f t="shared" si="2"/>
        <v>1</v>
      </c>
      <c r="L15" s="60">
        <f t="shared" si="2"/>
        <v>0.7</v>
      </c>
      <c r="M15" s="60">
        <f t="shared" si="2"/>
        <v>0</v>
      </c>
      <c r="N15" s="60">
        <f t="shared" si="2"/>
        <v>0</v>
      </c>
      <c r="O15" s="61">
        <f t="shared" si="2"/>
        <v>0</v>
      </c>
      <c r="Y15" s="25"/>
      <c r="Z15" s="128" t="s">
        <v>17</v>
      </c>
      <c r="AA15" s="125" t="b">
        <f t="shared" si="1"/>
        <v>0</v>
      </c>
      <c r="AC15" s="122" t="str">
        <f>IF(ISBLANK(K14),"empty",K14)</f>
        <v>empty</v>
      </c>
      <c r="AD15" s="123" t="b">
        <f>OR(ISNA(MATCH(VLOOKUP(K14,$B$5:$E$17,2),$AC$5:$AC$13,0)),ISNA(MATCH(VLOOKUP(K14,$B$5:$E$17,3),$AC$5:$AC$13,0)),ISNA(MATCH(VLOOKUP(K14,$B$5:$E$17,4),$AC$5:$AC$13,0)))</f>
        <v>1</v>
      </c>
    </row>
    <row r="16" spans="2:30" ht="13.5" thickBot="1">
      <c r="B16" s="58" t="s">
        <v>19</v>
      </c>
      <c r="C16" s="72"/>
      <c r="D16" s="8"/>
      <c r="E16" s="9"/>
      <c r="F16" s="82"/>
      <c r="H16" s="62" t="s">
        <v>18</v>
      </c>
      <c r="J16" s="117">
        <f aca="true" t="shared" si="3" ref="J16:O16">+IF(OR($L$5="",J15=0),"",$L$5-J15)</f>
        <v>0.20000000000000007</v>
      </c>
      <c r="K16" s="63">
        <f t="shared" si="3"/>
        <v>0</v>
      </c>
      <c r="L16" s="63">
        <f t="shared" si="3"/>
        <v>0.30000000000000004</v>
      </c>
      <c r="M16" s="63">
        <f t="shared" si="3"/>
      </c>
      <c r="N16" s="63">
        <f t="shared" si="3"/>
      </c>
      <c r="O16" s="64">
        <f t="shared" si="3"/>
      </c>
      <c r="Y16" s="25"/>
      <c r="Z16" s="128" t="s">
        <v>19</v>
      </c>
      <c r="AA16" s="125" t="b">
        <f t="shared" si="1"/>
        <v>0</v>
      </c>
      <c r="AC16" s="118" t="str">
        <f>IF(ISBLANK(L10),"empty",L10)</f>
        <v>d</v>
      </c>
      <c r="AD16" s="119" t="b">
        <f>OR(ISNA(MATCH(VLOOKUP(L10,$B$5:$E$17,2),$AC$5:$AC$14,0)),ISNA(MATCH(VLOOKUP(L10,$B$5:$E$17,3),$AC$5:$AC$14,0)),ISNA(MATCH(VLOOKUP(L10,$B$5:$E$17,4),$AC$5:$AC$14,0)))</f>
        <v>0</v>
      </c>
    </row>
    <row r="17" spans="2:30" ht="13.5" thickBot="1">
      <c r="B17" s="66" t="s">
        <v>46</v>
      </c>
      <c r="C17" s="73"/>
      <c r="D17" s="10"/>
      <c r="E17" s="11"/>
      <c r="F17" s="83"/>
      <c r="G17" s="85"/>
      <c r="H17" s="65" t="s">
        <v>20</v>
      </c>
      <c r="I17" s="40"/>
      <c r="J17" s="71"/>
      <c r="K17" s="71"/>
      <c r="L17" s="25"/>
      <c r="M17" s="116"/>
      <c r="N17" s="145">
        <f>IF(OR(L5="",COUNT(J16:O16)=0),"",SUM(J16:O16)/(L5*COUNT(J16:O16)))</f>
        <v>0.1666666666666667</v>
      </c>
      <c r="O17" s="116"/>
      <c r="Y17" s="25"/>
      <c r="Z17" s="129" t="s">
        <v>46</v>
      </c>
      <c r="AA17" s="126" t="b">
        <f t="shared" si="1"/>
        <v>0</v>
      </c>
      <c r="AC17" s="120" t="str">
        <f>IF(ISBLANK(L11),"empty",L11)</f>
        <v>e</v>
      </c>
      <c r="AD17" s="121" t="b">
        <f>OR(ISNA(MATCH(VLOOKUP(L11,$B$5:$E$17,2),$AC$5:$AC$16,0)),ISNA(MATCH(VLOOKUP(L11,$B$5:$E$17,3),$AC$5:$AC$16,0)),ISNA(MATCH(VLOOKUP(L11,$B$5:$E$17,4),$AC$5:$AC$16,0)))</f>
        <v>0</v>
      </c>
    </row>
    <row r="18" spans="2:30" ht="13.5" thickBot="1">
      <c r="B18" s="67"/>
      <c r="C18" s="68"/>
      <c r="D18" s="68"/>
      <c r="E18" s="69" t="s">
        <v>21</v>
      </c>
      <c r="F18" s="70">
        <f>SUM(F5:F17)</f>
        <v>2.5</v>
      </c>
      <c r="H18" s="37" t="s">
        <v>22</v>
      </c>
      <c r="I18" s="38"/>
      <c r="J18" s="63"/>
      <c r="K18" s="63"/>
      <c r="L18" s="38"/>
      <c r="M18" s="98"/>
      <c r="N18" s="146">
        <f>IF(OR(L5="",COUNT(J16:O16)=0),"",1-N17)</f>
        <v>0.8333333333333333</v>
      </c>
      <c r="O18" s="98"/>
      <c r="Y18" s="25"/>
      <c r="AC18" s="120" t="str">
        <f>IF(ISBLANK(L12),"empty",L12)</f>
        <v>empty</v>
      </c>
      <c r="AD18" s="121" t="b">
        <f>OR(ISNA(MATCH(VLOOKUP(L12,$B$5:$E$17,2),$AC$5:$AC$17,0)),ISNA(MATCH(VLOOKUP(L12,$B$5:$E$17,3),$AC$5:$AC$17,0)),ISNA(MATCH(VLOOKUP(L12,$B$5:$E$17,4),$AC$5:$AC$17,0)))</f>
        <v>1</v>
      </c>
    </row>
    <row r="19" spans="29:30" ht="12.75">
      <c r="AC19" s="120" t="str">
        <f>IF(ISBLANK(L13),"empty",L13)</f>
        <v>empty</v>
      </c>
      <c r="AD19" s="121" t="b">
        <f>OR(ISNA(MATCH(VLOOKUP(L13,$B$5:$E$17,2),$AC$5:$AC$18,0)),ISNA(MATCH(VLOOKUP(L13,$B$5:$E$17,3),$AC$5:$AC$18,0)),ISNA(MATCH(VLOOKUP(L13,$B$5:$E$17,4),$AC$5:$AC$18,0)))</f>
        <v>1</v>
      </c>
    </row>
    <row r="20" spans="7:30" ht="13.5" thickBot="1">
      <c r="G20" s="25"/>
      <c r="AC20" s="122" t="str">
        <f>IF(ISBLANK(L14),"empty",L14)</f>
        <v>empty</v>
      </c>
      <c r="AD20" s="123" t="b">
        <f>OR(ISNA(MATCH(VLOOKUP(L14,$B$5:$E$17,2),$AC$5:$AC$18,0)),ISNA(MATCH(VLOOKUP(L14,$B$5:$E$17,3),$AC$5:$AC$18,0)),ISNA(MATCH(VLOOKUP(L14,$B$5:$E$17,4),$AC$5:$AC$18,0)))</f>
        <v>1</v>
      </c>
    </row>
    <row r="21" spans="29:30" ht="12.75">
      <c r="AC21" s="118" t="str">
        <f>IF(ISBLANK(M10),"empty",M10)</f>
        <v>empty</v>
      </c>
      <c r="AD21" s="119" t="b">
        <f>OR(ISNA(MATCH(VLOOKUP(M10,$B$5:$E$17,2),$AC$5:$AC$19,0)),ISNA(MATCH(VLOOKUP(M10,$B$5:$E$17,3),$AC$5:$AC$19,0)),ISNA(MATCH(VLOOKUP(M10,$B$5:$E$17,4),$AC$5:$AC$19,0)))</f>
        <v>1</v>
      </c>
    </row>
    <row r="22" spans="29:30" ht="12.75">
      <c r="AC22" s="120" t="str">
        <f>IF(ISBLANK(M11),"empty",M11)</f>
        <v>empty</v>
      </c>
      <c r="AD22" s="121" t="b">
        <f>OR(ISNA(MATCH(VLOOKUP(M11,$B$5:$E$17,2),$AC$5:$AC$21,0)),ISNA(MATCH(VLOOKUP(M11,$B$5:$E$17,3),$AC$5:$AC$21,0)),ISNA(MATCH(VLOOKUP(M11,$B$5:$E$17,4),$AC$5:$AC$21,0)))</f>
        <v>1</v>
      </c>
    </row>
    <row r="23" spans="29:30" ht="12.75">
      <c r="AC23" s="120" t="str">
        <f>IF(ISBLANK(M12),"empty",M12)</f>
        <v>empty</v>
      </c>
      <c r="AD23" s="121" t="b">
        <f>OR(ISNA(MATCH(VLOOKUP(M12,$B$5:$E$17,2),$AC$5:$AC$21,0)),ISNA(MATCH(VLOOKUP(M12,$B$5:$E$17,3),$AC$5:$AC$21,0)),ISNA(MATCH(VLOOKUP(M12,$B$5:$E$17,4),$AC$5:$AC$21,0)))</f>
        <v>1</v>
      </c>
    </row>
    <row r="24" spans="29:30" ht="12.75">
      <c r="AC24" s="120" t="str">
        <f>IF(ISBLANK(M13),"empty",M13)</f>
        <v>empty</v>
      </c>
      <c r="AD24" s="121" t="b">
        <f>OR(ISNA(MATCH(VLOOKUP(M13,$B$5:$E$17,2),$AC$5:$AC$21,0)),ISNA(MATCH(VLOOKUP(M13,$B$5:$E$17,3),$AC$5:$AC$21,0)),ISNA(MATCH(VLOOKUP(M13,$B$5:$E$17,4),$AC$5:$AC$21,0)))</f>
        <v>1</v>
      </c>
    </row>
    <row r="25" spans="29:30" ht="13.5" thickBot="1">
      <c r="AC25" s="122" t="str">
        <f>IF(ISBLANK(M14),"empty",M14)</f>
        <v>empty</v>
      </c>
      <c r="AD25" s="123" t="b">
        <f>OR(ISNA(MATCH(VLOOKUP(M14,$B$5:$E$17,2),$AC$5:$AC$21,0)),ISNA(MATCH(VLOOKUP(M14,$B$5:$E$17,3),$AC$5:$AC$21,0)),ISNA(MATCH(VLOOKUP(M14,$B$5:$E$17,4),$AC$5:$AC$21,0)))</f>
        <v>1</v>
      </c>
    </row>
    <row r="26" spans="29:30" ht="12.75">
      <c r="AC26" s="118" t="str">
        <f>IF(ISBLANK(N10),"empty",N10)</f>
        <v>empty</v>
      </c>
      <c r="AD26" s="119" t="b">
        <f>OR(ISNA(MATCH(VLOOKUP(N10,$B$5:$E$17,2),$AC$5:$AC$21,0)),ISNA(MATCH(VLOOKUP(N10,$B$5:$E$17,3),$AC$5:$AC$21,0)),ISNA(MATCH(VLOOKUP(N10,$B$5:$E$17,4),$AC$5:$AC$21,0)))</f>
        <v>1</v>
      </c>
    </row>
    <row r="27" spans="29:30" ht="12.75">
      <c r="AC27" s="120" t="str">
        <f>IF(ISBLANK(N11),"empty",N11)</f>
        <v>empty</v>
      </c>
      <c r="AD27" s="121" t="b">
        <f>OR(ISNA(MATCH(VLOOKUP(N11,$B$5:$E$17,2),$AC$5:$AC$21,0)),ISNA(MATCH(VLOOKUP(N11,$B$5:$E$17,3),$AC$5:$AC$21,0)),ISNA(MATCH(VLOOKUP(N11,$B$5:$E$17,4),$AC$5:$AC$21,0)))</f>
        <v>1</v>
      </c>
    </row>
    <row r="28" spans="29:30" ht="12.75">
      <c r="AC28" s="120" t="str">
        <f>IF(ISBLANK(N12),"empty",N12)</f>
        <v>empty</v>
      </c>
      <c r="AD28" s="121" t="b">
        <f>OR(ISNA(MATCH(VLOOKUP(N12,$B$5:$E$17,2),$AC$5:$AC$21,0)),ISNA(MATCH(VLOOKUP(N12,$B$5:$E$17,3),$AC$5:$AC$21,0)),ISNA(MATCH(VLOOKUP(N12,$B$5:$E$17,4),$AC$5:$AC$21,0)))</f>
        <v>1</v>
      </c>
    </row>
    <row r="29" spans="29:30" ht="12.75">
      <c r="AC29" s="120" t="str">
        <f>IF(ISBLANK(N13),"empty",N13)</f>
        <v>empty</v>
      </c>
      <c r="AD29" s="121" t="b">
        <f>OR(ISNA(MATCH(VLOOKUP(N13,$B$5:$E$17,2),$AC$5:$AC$21,0)),ISNA(MATCH(VLOOKUP(N13,$B$5:$E$17,3),$AC$5:$AC$21,0)),ISNA(MATCH(VLOOKUP(N13,$B$5:$E$17,4),$AC$5:$AC$21,0)))</f>
        <v>1</v>
      </c>
    </row>
    <row r="30" spans="29:30" ht="13.5" thickBot="1">
      <c r="AC30" s="122" t="str">
        <f>IF(ISBLANK(N14),"empty",N14)</f>
        <v>empty</v>
      </c>
      <c r="AD30" s="123" t="b">
        <f>OR(ISNA(MATCH(VLOOKUP(N14,$B$5:$E$17,2),$AC$5:$AC$21,0)),ISNA(MATCH(VLOOKUP(N14,$B$5:$E$17,3),$AC$5:$AC$21,0)),ISNA(MATCH(VLOOKUP(N14,$B$5:$E$17,4),$AC$5:$AC$21,0)))</f>
        <v>1</v>
      </c>
    </row>
    <row r="31" spans="29:30" ht="12.75">
      <c r="AC31" s="118" t="str">
        <f>IF(ISBLANK(O10),"empty",O10)</f>
        <v>empty</v>
      </c>
      <c r="AD31" s="119" t="b">
        <f>OR(ISNA(MATCH(VLOOKUP(43,$B$5:$E$17,2),$AC$5:$AC$21,0)),ISNA(MATCH(VLOOKUP(43,$B$5:$E$17,3),$AC$5:$AC$21,0)),ISNA(MATCH(VLOOKUP(43,$B$5:$E$17,4),$AC$5:$AC$21,0)))</f>
        <v>1</v>
      </c>
    </row>
    <row r="32" spans="29:30" ht="12.75">
      <c r="AC32" s="120" t="str">
        <f>IF(ISBLANK(O11),"empty",O11)</f>
        <v>empty</v>
      </c>
      <c r="AD32" s="121" t="b">
        <f>OR(ISNA(MATCH(VLOOKUP(43,$B$5:$E$17,2),$AC$5:$AC$21,0)),ISNA(MATCH(VLOOKUP(43,$B$5:$E$17,3),$AC$5:$AC$21,0)),ISNA(MATCH(VLOOKUP(43,$B$5:$E$17,4),$AC$5:$AC$21,0)))</f>
        <v>1</v>
      </c>
    </row>
    <row r="33" spans="29:30" ht="12.75">
      <c r="AC33" s="120" t="str">
        <f>IF(ISBLANK(O12),"empty",O12)</f>
        <v>empty</v>
      </c>
      <c r="AD33" s="121" t="b">
        <f>OR(ISNA(MATCH(VLOOKUP(43,$B$5:$E$17,2),$AC$5:$AC$21,0)),ISNA(MATCH(VLOOKUP(43,$B$5:$E$17,3),$AC$5:$AC$21,0)),ISNA(MATCH(VLOOKUP(43,$B$5:$E$17,4),$AC$5:$AC$21,0)))</f>
        <v>1</v>
      </c>
    </row>
    <row r="34" spans="29:30" ht="12.75">
      <c r="AC34" s="120" t="str">
        <f>IF(ISBLANK(O13),"empty",O13)</f>
        <v>empty</v>
      </c>
      <c r="AD34" s="121" t="b">
        <f>OR(ISNA(MATCH(VLOOKUP(43,$B$5:$E$17,2),$AC$5:$AC$21,0)),ISNA(MATCH(VLOOKUP(43,$B$5:$E$17,3),$AC$5:$AC$21,0)),ISNA(MATCH(VLOOKUP(43,$B$5:$E$17,4),$AC$5:$AC$21,0)))</f>
        <v>1</v>
      </c>
    </row>
    <row r="35" spans="29:30" ht="13.5" thickBot="1">
      <c r="AC35" s="122" t="str">
        <f>IF(ISBLANK(O14),"empty",O14)</f>
        <v>empty</v>
      </c>
      <c r="AD35" s="123" t="b">
        <f>OR(ISNA(MATCH(VLOOKUP(43,$B$5:$E$17,2),$AC$5:$AC$21,0)),ISNA(MATCH(VLOOKUP(43,$B$5:$E$17,3),$AC$5:$AC$21,0)),ISNA(MATCH(VLOOKUP(43,$B$5:$E$17,4),$AC$5:$AC$21,0)))</f>
        <v>1</v>
      </c>
    </row>
  </sheetData>
  <sheetProtection password="A753" sheet="1" objects="1" scenarios="1"/>
  <conditionalFormatting sqref="B5:B17">
    <cfRule type="expression" priority="1" dxfId="0" stopIfTrue="1">
      <formula>AA5</formula>
    </cfRule>
  </conditionalFormatting>
  <conditionalFormatting sqref="J16:O16">
    <cfRule type="cellIs" priority="2" dxfId="0" operator="lessThan" stopIfTrue="1">
      <formula>-0.00000001</formula>
    </cfRule>
  </conditionalFormatting>
  <printOptions gridLines="1"/>
  <pageMargins left="0.75" right="0.75" top="1" bottom="1" header="0.5" footer="0.5"/>
  <pageSetup horizontalDpi="180" verticalDpi="180" orientation="landscape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AG28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14" customWidth="1"/>
    <col min="2" max="10" width="5.57421875" style="14" customWidth="1"/>
    <col min="11" max="21" width="5.57421875" style="0" customWidth="1"/>
    <col min="22" max="22" width="5.7109375" style="0" customWidth="1"/>
    <col min="23" max="34" width="5.8515625" style="14" customWidth="1"/>
    <col min="35" max="16384" width="9.140625" style="14" customWidth="1"/>
  </cols>
  <sheetData>
    <row r="1" ht="13.5" thickBot="1">
      <c r="A1" s="13" t="s">
        <v>43</v>
      </c>
    </row>
    <row r="2" spans="12:33" ht="13.5" thickBot="1">
      <c r="L2" s="19" t="s">
        <v>34</v>
      </c>
      <c r="M2" s="14"/>
      <c r="N2" s="14"/>
      <c r="O2" s="14"/>
      <c r="P2" s="14"/>
      <c r="Q2" s="14"/>
      <c r="R2" s="14"/>
      <c r="S2" s="14"/>
      <c r="Z2" s="15" t="s">
        <v>26</v>
      </c>
      <c r="AA2" s="16" t="s">
        <v>27</v>
      </c>
      <c r="AB2" s="16" t="s">
        <v>28</v>
      </c>
      <c r="AC2" s="16" t="s">
        <v>29</v>
      </c>
      <c r="AD2" s="16" t="s">
        <v>30</v>
      </c>
      <c r="AE2" s="16" t="s">
        <v>31</v>
      </c>
      <c r="AF2" s="16" t="s">
        <v>32</v>
      </c>
      <c r="AG2" s="17" t="s">
        <v>33</v>
      </c>
    </row>
    <row r="3" spans="2:33" ht="13.5" thickBot="1">
      <c r="B3" s="18" t="s">
        <v>23</v>
      </c>
      <c r="L3" s="67" t="s">
        <v>26</v>
      </c>
      <c r="M3" s="68" t="s">
        <v>27</v>
      </c>
      <c r="N3" s="68" t="s">
        <v>28</v>
      </c>
      <c r="O3" s="68" t="s">
        <v>29</v>
      </c>
      <c r="P3" s="68" t="s">
        <v>30</v>
      </c>
      <c r="Q3" s="68" t="s">
        <v>31</v>
      </c>
      <c r="R3" s="68" t="s">
        <v>32</v>
      </c>
      <c r="S3" s="75" t="s">
        <v>33</v>
      </c>
      <c r="T3" s="14"/>
      <c r="Y3" s="20" t="s">
        <v>25</v>
      </c>
      <c r="Z3" s="21">
        <f aca="true" t="shared" si="0" ref="Z3:AG3">L4</f>
        <v>1</v>
      </c>
      <c r="AA3" s="22">
        <f t="shared" si="0"/>
        <v>2</v>
      </c>
      <c r="AB3" s="22">
        <f t="shared" si="0"/>
        <v>3</v>
      </c>
      <c r="AC3" s="22">
        <f t="shared" si="0"/>
        <v>0</v>
      </c>
      <c r="AD3" s="22">
        <f t="shared" si="0"/>
        <v>0</v>
      </c>
      <c r="AE3" s="22">
        <f t="shared" si="0"/>
        <v>0</v>
      </c>
      <c r="AF3" s="22">
        <f t="shared" si="0"/>
        <v>0</v>
      </c>
      <c r="AG3" s="23">
        <f t="shared" si="0"/>
        <v>0</v>
      </c>
    </row>
    <row r="4" spans="2:33" ht="13.5" thickBot="1">
      <c r="B4" s="24"/>
      <c r="C4" s="67" t="s">
        <v>26</v>
      </c>
      <c r="D4" s="22" t="s">
        <v>27</v>
      </c>
      <c r="E4" s="22" t="s">
        <v>28</v>
      </c>
      <c r="F4" s="22" t="s">
        <v>29</v>
      </c>
      <c r="G4" s="22" t="s">
        <v>30</v>
      </c>
      <c r="H4" s="22" t="s">
        <v>31</v>
      </c>
      <c r="I4" s="22" t="s">
        <v>32</v>
      </c>
      <c r="J4" s="23" t="s">
        <v>33</v>
      </c>
      <c r="L4" s="108">
        <v>1</v>
      </c>
      <c r="M4" s="109">
        <v>2</v>
      </c>
      <c r="N4" s="109">
        <v>3</v>
      </c>
      <c r="O4" s="109"/>
      <c r="P4" s="109"/>
      <c r="Q4" s="109"/>
      <c r="R4" s="109"/>
      <c r="S4" s="110"/>
      <c r="W4" s="25"/>
      <c r="X4" s="26" t="s">
        <v>26</v>
      </c>
      <c r="Y4" s="27">
        <f>L4</f>
        <v>1</v>
      </c>
      <c r="Z4" s="28">
        <f aca="true" t="shared" si="1" ref="Z4:AG11">Z15*IF(OR(Z$3&lt;=0,$Y4&lt;=0),0,INDEX($C$15:$J$22,$Y4,Z$3))</f>
        <v>0</v>
      </c>
      <c r="AA4" s="29">
        <f t="shared" si="1"/>
        <v>200</v>
      </c>
      <c r="AB4" s="29">
        <f t="shared" si="1"/>
        <v>3200</v>
      </c>
      <c r="AC4" s="29">
        <f t="shared" si="1"/>
        <v>0</v>
      </c>
      <c r="AD4" s="29">
        <f t="shared" si="1"/>
        <v>0</v>
      </c>
      <c r="AE4" s="29">
        <f t="shared" si="1"/>
        <v>0</v>
      </c>
      <c r="AF4" s="29">
        <f t="shared" si="1"/>
        <v>0</v>
      </c>
      <c r="AG4" s="30">
        <f t="shared" si="1"/>
        <v>0</v>
      </c>
    </row>
    <row r="5" spans="2:33" ht="13.5" customHeight="1" thickBot="1">
      <c r="B5" s="26" t="s">
        <v>26</v>
      </c>
      <c r="C5" s="135"/>
      <c r="D5" s="6">
        <v>20</v>
      </c>
      <c r="E5" s="6">
        <v>40</v>
      </c>
      <c r="F5" s="6"/>
      <c r="G5" s="6"/>
      <c r="H5" s="6"/>
      <c r="I5" s="6"/>
      <c r="J5" s="7"/>
      <c r="Q5" s="24" t="s">
        <v>35</v>
      </c>
      <c r="R5" s="41">
        <f>SUM(Z4:AG11)</f>
        <v>10400</v>
      </c>
      <c r="S5" s="42"/>
      <c r="W5" s="25"/>
      <c r="X5" s="34" t="s">
        <v>27</v>
      </c>
      <c r="Y5" s="35">
        <f>M4</f>
        <v>2</v>
      </c>
      <c r="Z5" s="28">
        <f t="shared" si="1"/>
        <v>400</v>
      </c>
      <c r="AA5" s="29">
        <f t="shared" si="1"/>
        <v>0</v>
      </c>
      <c r="AB5" s="29">
        <f t="shared" si="1"/>
        <v>900</v>
      </c>
      <c r="AC5" s="29">
        <f t="shared" si="1"/>
        <v>0</v>
      </c>
      <c r="AD5" s="29">
        <f t="shared" si="1"/>
        <v>0</v>
      </c>
      <c r="AE5" s="29">
        <f t="shared" si="1"/>
        <v>0</v>
      </c>
      <c r="AF5" s="29">
        <f t="shared" si="1"/>
        <v>0</v>
      </c>
      <c r="AG5" s="30">
        <f t="shared" si="1"/>
        <v>0</v>
      </c>
    </row>
    <row r="6" spans="2:33" ht="13.5" thickBot="1">
      <c r="B6" s="34" t="s">
        <v>27</v>
      </c>
      <c r="C6" s="136"/>
      <c r="D6" s="137"/>
      <c r="E6" s="8">
        <v>30</v>
      </c>
      <c r="F6" s="8"/>
      <c r="G6" s="8"/>
      <c r="H6" s="8"/>
      <c r="I6" s="8"/>
      <c r="J6" s="9"/>
      <c r="W6" s="25"/>
      <c r="X6" s="34" t="s">
        <v>28</v>
      </c>
      <c r="Y6" s="35">
        <f>N4</f>
        <v>3</v>
      </c>
      <c r="Z6" s="28">
        <f t="shared" si="1"/>
        <v>3600</v>
      </c>
      <c r="AA6" s="29">
        <f t="shared" si="1"/>
        <v>2100</v>
      </c>
      <c r="AB6" s="29">
        <f t="shared" si="1"/>
        <v>0</v>
      </c>
      <c r="AC6" s="29">
        <f t="shared" si="1"/>
        <v>0</v>
      </c>
      <c r="AD6" s="29">
        <f t="shared" si="1"/>
        <v>0</v>
      </c>
      <c r="AE6" s="29">
        <f t="shared" si="1"/>
        <v>0</v>
      </c>
      <c r="AF6" s="29">
        <f t="shared" si="1"/>
        <v>0</v>
      </c>
      <c r="AG6" s="30">
        <f t="shared" si="1"/>
        <v>0</v>
      </c>
    </row>
    <row r="7" spans="2:33" ht="13.5" thickBot="1">
      <c r="B7" s="34" t="s">
        <v>28</v>
      </c>
      <c r="C7" s="136"/>
      <c r="D7" s="138"/>
      <c r="E7" s="139"/>
      <c r="F7" s="8"/>
      <c r="G7" s="8"/>
      <c r="H7" s="8"/>
      <c r="I7" s="8"/>
      <c r="J7" s="9"/>
      <c r="L7" s="79" t="s">
        <v>36</v>
      </c>
      <c r="M7" s="106"/>
      <c r="N7" s="107"/>
      <c r="O7" s="80"/>
      <c r="Q7" s="79" t="s">
        <v>45</v>
      </c>
      <c r="R7" s="107"/>
      <c r="S7" s="107"/>
      <c r="T7" s="80"/>
      <c r="X7" s="34" t="s">
        <v>29</v>
      </c>
      <c r="Y7" s="35">
        <f>O4</f>
        <v>0</v>
      </c>
      <c r="Z7" s="28">
        <f t="shared" si="1"/>
        <v>0</v>
      </c>
      <c r="AA7" s="29">
        <f t="shared" si="1"/>
        <v>0</v>
      </c>
      <c r="AB7" s="29">
        <f t="shared" si="1"/>
        <v>0</v>
      </c>
      <c r="AC7" s="29">
        <f t="shared" si="1"/>
        <v>0</v>
      </c>
      <c r="AD7" s="29">
        <f t="shared" si="1"/>
        <v>0</v>
      </c>
      <c r="AE7" s="29">
        <f t="shared" si="1"/>
        <v>0</v>
      </c>
      <c r="AF7" s="29">
        <f t="shared" si="1"/>
        <v>0</v>
      </c>
      <c r="AG7" s="30">
        <f t="shared" si="1"/>
        <v>0</v>
      </c>
    </row>
    <row r="8" spans="2:33" ht="13.5" thickBot="1">
      <c r="B8" s="34" t="s">
        <v>29</v>
      </c>
      <c r="C8" s="136"/>
      <c r="D8" s="140"/>
      <c r="E8" s="140"/>
      <c r="F8" s="139"/>
      <c r="G8" s="8"/>
      <c r="H8" s="8"/>
      <c r="I8" s="8"/>
      <c r="J8" s="9"/>
      <c r="L8" s="99" t="str">
        <f>IF(ISNUMBER(D5),"A-B","")</f>
        <v>A-B</v>
      </c>
      <c r="M8" s="1">
        <f>IF(AND(ISBLANK(L4),ISBLANK(M4),ISNUMBER(D5)),D5,"")</f>
      </c>
      <c r="N8" s="99">
        <f>IF(ISNUMBER(F7),"C-D","")</f>
      </c>
      <c r="O8" s="1">
        <f>IF(AND(ISBLANK(N4),ISBLANK(O4),ISNUMBER(F7)),F7,"")</f>
      </c>
      <c r="Q8" s="76" t="str">
        <f>IF(OR(ISNUMBER(D15),ISNUMBER(C16)),"1-2","")</f>
        <v>1-2</v>
      </c>
      <c r="R8" s="1">
        <f>IF(AND(ISNA(MATCH(1,$L$4:$S$4,0)),ISNA(MATCH(2,$L$4:$S$4,0)),OR(ISNUMBER(D15),ISNUMBER(C16))),D15+C16,"")</f>
      </c>
      <c r="S8" s="76">
        <f>IF(OR(ISNUMBER(F17),ISNUMBER(E18)),"3-4","")</f>
      </c>
      <c r="T8" s="1">
        <f>IF(AND(ISNA(MATCH(3,$L$4:$S$4,0)),ISNA(MATCH(4,$L$4:$S$4,0)),OR(ISNUMBER(F17),ISNUMBER(E18))),F17+E18,"")</f>
      </c>
      <c r="X8" s="34" t="s">
        <v>30</v>
      </c>
      <c r="Y8" s="35">
        <f>P4</f>
        <v>0</v>
      </c>
      <c r="Z8" s="28">
        <f t="shared" si="1"/>
        <v>0</v>
      </c>
      <c r="AA8" s="29">
        <f t="shared" si="1"/>
        <v>0</v>
      </c>
      <c r="AB8" s="29">
        <f t="shared" si="1"/>
        <v>0</v>
      </c>
      <c r="AC8" s="29">
        <f t="shared" si="1"/>
        <v>0</v>
      </c>
      <c r="AD8" s="29">
        <f t="shared" si="1"/>
        <v>0</v>
      </c>
      <c r="AE8" s="29">
        <f t="shared" si="1"/>
        <v>0</v>
      </c>
      <c r="AF8" s="29">
        <f t="shared" si="1"/>
        <v>0</v>
      </c>
      <c r="AG8" s="30">
        <f t="shared" si="1"/>
        <v>0</v>
      </c>
    </row>
    <row r="9" spans="2:33" ht="13.5" thickBot="1">
      <c r="B9" s="34" t="s">
        <v>30</v>
      </c>
      <c r="C9" s="136"/>
      <c r="D9" s="140"/>
      <c r="E9" s="140"/>
      <c r="F9" s="140"/>
      <c r="G9" s="139"/>
      <c r="H9" s="8"/>
      <c r="I9" s="8"/>
      <c r="J9" s="9"/>
      <c r="L9" s="100" t="str">
        <f>IF(ISNUMBER(E5),"A-C","")</f>
        <v>A-C</v>
      </c>
      <c r="M9" s="74">
        <f>IF(AND(ISBLANK(L4),ISBLANK(N4),ISNUMBER(E5)),E5,"")</f>
      </c>
      <c r="N9" s="100">
        <f>IF(ISNUMBER(G7),"C-E","")</f>
      </c>
      <c r="O9" s="74">
        <f>IF(AND(ISBLANK(N4),ISBLANK(P4),ISNUMBER(G7)),G7,"")</f>
      </c>
      <c r="Q9" s="77" t="str">
        <f>IF(OR(ISNUMBER(E15),ISNUMBER(C17)),"1-3","")</f>
        <v>1-3</v>
      </c>
      <c r="R9" s="74">
        <f>IF(AND(ISNA(MATCH(1,$L$4:$S$4,0)),ISNA(MATCH(3,$L$4:$S$4,0)),OR(ISNUMBER(E15),ISNUMBER(C17))),E15+C17,"")</f>
      </c>
      <c r="S9" s="77">
        <f>IF(OR(ISNUMBER(G17),ISNUMBER(E19)),"3-5","")</f>
      </c>
      <c r="T9" s="74">
        <f>IF(AND(ISNA(MATCH(3,$L$4:$S$4,0)),ISNA(MATCH(5,$L$4:$S$4,0)),OR(ISNUMBER(G17),ISNUMBER(E19))),G17+E19,"")</f>
      </c>
      <c r="X9" s="34" t="s">
        <v>31</v>
      </c>
      <c r="Y9" s="35">
        <f>Q4</f>
        <v>0</v>
      </c>
      <c r="Z9" s="28">
        <f t="shared" si="1"/>
        <v>0</v>
      </c>
      <c r="AA9" s="29">
        <f t="shared" si="1"/>
        <v>0</v>
      </c>
      <c r="AB9" s="29">
        <f t="shared" si="1"/>
        <v>0</v>
      </c>
      <c r="AC9" s="29">
        <f t="shared" si="1"/>
        <v>0</v>
      </c>
      <c r="AD9" s="29">
        <f t="shared" si="1"/>
        <v>0</v>
      </c>
      <c r="AE9" s="29">
        <f t="shared" si="1"/>
        <v>0</v>
      </c>
      <c r="AF9" s="29">
        <f t="shared" si="1"/>
        <v>0</v>
      </c>
      <c r="AG9" s="30">
        <f t="shared" si="1"/>
        <v>0</v>
      </c>
    </row>
    <row r="10" spans="2:33" ht="13.5" thickBot="1">
      <c r="B10" s="34" t="s">
        <v>31</v>
      </c>
      <c r="C10" s="136"/>
      <c r="D10" s="140"/>
      <c r="E10" s="140"/>
      <c r="F10" s="140"/>
      <c r="G10" s="140"/>
      <c r="H10" s="139"/>
      <c r="I10" s="8"/>
      <c r="J10" s="9"/>
      <c r="L10" s="100">
        <f>IF(ISNUMBER(F5),"A-D","")</f>
      </c>
      <c r="M10" s="74">
        <f>IF(AND(ISBLANK(L4),ISBLANK(O4),ISNUMBER(F5)),F5,"")</f>
      </c>
      <c r="N10" s="100">
        <f>IF(ISNUMBER(H7),"C-F","")</f>
      </c>
      <c r="O10" s="74">
        <f>IF(AND(ISBLANK(N4),ISBLANK(Q4),ISNUMBER(H7)),H7,"")</f>
      </c>
      <c r="Q10" s="77">
        <f>IF(OR(ISNUMBER(F15),ISNUMBER(C18)),"1-4","")</f>
      </c>
      <c r="R10" s="74">
        <f>IF(AND(ISNA(MATCH(1,$L$4:$S$4,0)),ISNA(MATCH(4,$L$4:$S$4,0)),OR(ISNUMBER(F15),ISNUMBER(C18))),F15+C18,"")</f>
      </c>
      <c r="S10" s="77">
        <f>IF(OR(ISNUMBER(H17),ISNUMBER(E20)),"3-6","")</f>
      </c>
      <c r="T10" s="74">
        <f>IF(AND(ISNA(MATCH(3,$L$4:$S$4,0)),ISNA(MATCH(6,$L$4:$S$4,0)),OR(ISNUMBER(H17),ISNUMBER(E20))),H17+E20,"")</f>
      </c>
      <c r="X10" s="34" t="s">
        <v>32</v>
      </c>
      <c r="Y10" s="35">
        <f>R4</f>
        <v>0</v>
      </c>
      <c r="Z10" s="28">
        <f t="shared" si="1"/>
        <v>0</v>
      </c>
      <c r="AA10" s="29">
        <f t="shared" si="1"/>
        <v>0</v>
      </c>
      <c r="AB10" s="29">
        <f t="shared" si="1"/>
        <v>0</v>
      </c>
      <c r="AC10" s="29">
        <f t="shared" si="1"/>
        <v>0</v>
      </c>
      <c r="AD10" s="29">
        <f t="shared" si="1"/>
        <v>0</v>
      </c>
      <c r="AE10" s="29">
        <f t="shared" si="1"/>
        <v>0</v>
      </c>
      <c r="AF10" s="29">
        <f t="shared" si="1"/>
        <v>0</v>
      </c>
      <c r="AG10" s="30">
        <f t="shared" si="1"/>
        <v>0</v>
      </c>
    </row>
    <row r="11" spans="2:33" ht="13.5" thickBot="1">
      <c r="B11" s="43" t="s">
        <v>32</v>
      </c>
      <c r="C11" s="141"/>
      <c r="D11" s="142"/>
      <c r="E11" s="142"/>
      <c r="F11" s="142"/>
      <c r="G11" s="142"/>
      <c r="H11" s="142"/>
      <c r="I11" s="143"/>
      <c r="J11" s="11"/>
      <c r="L11" s="100">
        <f>IF(ISNUMBER(G5),"A-E","")</f>
      </c>
      <c r="M11" s="74">
        <f>IF(AND(ISBLANK(L4),ISBLANK(P4),ISNUMBER(G5)),G5,"")</f>
      </c>
      <c r="N11" s="100">
        <f>IF(ISNUMBER(I7),"C-G","")</f>
      </c>
      <c r="O11" s="74">
        <f>IF(AND(ISBLANK(N4),ISBLANK(R4),ISNUMBER(I7)),I7,"")</f>
      </c>
      <c r="Q11" s="77">
        <f>IF(OR(ISNUMBER(G15),ISNUMBER(C19)),"1-5","")</f>
      </c>
      <c r="R11" s="74">
        <f>IF(AND(ISNA(MATCH(1,$L$4:$S$4,0)),ISNA(MATCH(5,$L$4:$S$4,0)),OR(ISNUMBER(G15),ISNUMBER(C19))),G15+C19,"")</f>
      </c>
      <c r="S11" s="77">
        <f>IF(OR(ISNUMBER(I17),ISNUMBER(E21)),"3-7","")</f>
      </c>
      <c r="T11" s="74">
        <f>IF(AND(ISNA(MATCH(3,$L$4:$S$4,0)),ISNA(MATCH(7,$L$4:$S$4,0)),OR(ISNUMBER(I17),ISNUMBER(E21))),I17+E21,"")</f>
      </c>
      <c r="X11" s="43" t="s">
        <v>33</v>
      </c>
      <c r="Y11" s="45">
        <f>S4</f>
        <v>0</v>
      </c>
      <c r="Z11" s="46">
        <f t="shared" si="1"/>
        <v>0</v>
      </c>
      <c r="AA11" s="47">
        <f t="shared" si="1"/>
        <v>0</v>
      </c>
      <c r="AB11" s="47">
        <f t="shared" si="1"/>
        <v>0</v>
      </c>
      <c r="AC11" s="47">
        <f t="shared" si="1"/>
        <v>0</v>
      </c>
      <c r="AD11" s="47">
        <f t="shared" si="1"/>
        <v>0</v>
      </c>
      <c r="AE11" s="47">
        <f t="shared" si="1"/>
        <v>0</v>
      </c>
      <c r="AF11" s="47">
        <f t="shared" si="1"/>
        <v>0</v>
      </c>
      <c r="AG11" s="48">
        <f t="shared" si="1"/>
        <v>0</v>
      </c>
    </row>
    <row r="12" spans="3:20" ht="12.75">
      <c r="C12" s="25"/>
      <c r="D12" s="25"/>
      <c r="E12" s="25"/>
      <c r="F12" s="25"/>
      <c r="G12" s="25"/>
      <c r="H12" s="25"/>
      <c r="I12" s="25"/>
      <c r="J12" s="25"/>
      <c r="L12" s="100">
        <f>IF(ISNUMBER(H5),"A-F","")</f>
      </c>
      <c r="M12" s="74">
        <f>IF(AND(ISBLANK(L4),ISBLANK(Q4),ISNUMBER(H5)),H5,"")</f>
      </c>
      <c r="N12" s="101">
        <f>IF(ISNUMBER(J7),"C-H","")</f>
      </c>
      <c r="O12" s="102">
        <f>IF(AND(ISBLANK(N4),ISBLANK(S4),ISNUMBER(J7)),J7,"")</f>
      </c>
      <c r="Q12" s="77">
        <f>IF(OR(ISNUMBER(H15),ISNUMBER(C20)),"1-6","")</f>
      </c>
      <c r="R12" s="74">
        <f>IF(AND(ISNA(MATCH(1,$L$4:$S$4,0)),ISNA(MATCH(6,$L$4:$S$4,0)),OR(ISNUMBER(H15),ISNUMBER(C20))),H15+C20,"")</f>
      </c>
      <c r="S12" s="105">
        <f>IF(OR(ISNUMBER(J17),ISNUMBER(E22)),"3-8","")</f>
      </c>
      <c r="T12" s="102">
        <f>IF(AND(ISNA(MATCH(3,$L$4:$S$4,0)),ISNA(MATCH(8,$L$4:$S$4,0)),OR(ISNUMBER(J17),ISNUMBER(E22))),J17+E22,"")</f>
      </c>
    </row>
    <row r="13" spans="2:20" ht="13.5" thickBot="1">
      <c r="B13" s="18" t="s">
        <v>24</v>
      </c>
      <c r="L13" s="100">
        <f>IF(ISNUMBER(I5),"A-G","")</f>
      </c>
      <c r="M13" s="74">
        <f>IF(AND(ISBLANK(L4),ISBLANK(R4),ISNUMBER(I5)),I5,"")</f>
      </c>
      <c r="N13" s="100">
        <f>IF(ISNUMBER(G8),"D-E","")</f>
      </c>
      <c r="O13" s="74">
        <f>IF(AND(ISBLANK(O4),ISBLANK(P4),ISNUMBER(G8)),G8,"")</f>
      </c>
      <c r="Q13" s="77">
        <f>IF(OR(ISNUMBER(I15),ISNUMBER(C21)),"1-7","")</f>
      </c>
      <c r="R13" s="74">
        <f>IF(AND(ISNA(MATCH(1,$L$4:$S$4,0)),ISNA(MATCH(7,$L$4:$S$4,0)),OR(ISNUMBER(I15),ISNUMBER(C21))),I15+C21,"")</f>
      </c>
      <c r="S13" s="77">
        <f>IF(OR(ISNUMBER(G18),ISNUMBER(F19)),"4-5","")</f>
      </c>
      <c r="T13" s="74">
        <f>IF(AND(ISNA(MATCH(4,$L$4:$S$4,0)),ISNA(MATCH(5,$L$4:$S$4,0)),OR(ISNUMBER(G18),ISNUMBER(F19))),G18+F19,"")</f>
      </c>
    </row>
    <row r="14" spans="2:33" ht="13.5" thickBot="1">
      <c r="B14" s="24"/>
      <c r="C14" s="49">
        <v>1</v>
      </c>
      <c r="D14" s="22">
        <v>2</v>
      </c>
      <c r="E14" s="22">
        <v>3</v>
      </c>
      <c r="F14" s="22">
        <v>4</v>
      </c>
      <c r="G14" s="22">
        <v>5</v>
      </c>
      <c r="H14" s="22">
        <v>6</v>
      </c>
      <c r="I14" s="22">
        <v>7</v>
      </c>
      <c r="J14" s="23">
        <v>8</v>
      </c>
      <c r="L14" s="101">
        <f>IF(ISNUMBER(J5),"A-H","")</f>
      </c>
      <c r="M14" s="102">
        <f>IF(AND(ISBLANK(L4),ISBLANK(S4),ISNUMBER(J5)),J5,"")</f>
      </c>
      <c r="N14" s="100">
        <f>IF(ISNUMBER(H8),"D-F","")</f>
      </c>
      <c r="O14" s="74">
        <f>IF(AND(ISBLANK(O4),ISBLANK(Q4),ISNUMBER(H8)),H8,"")</f>
      </c>
      <c r="Q14" s="105">
        <f>IF(OR(ISNUMBER(J15),ISNUMBER(C22)),"1-8","")</f>
      </c>
      <c r="R14" s="102">
        <f>IF(AND(ISNA(MATCH(1,$L$4:$S$4,0)),ISNA(MATCH(8,$L$4:$S$4,0)),OR(ISNUMBER(J15),ISNUMBER(C22))),J15+C22,"")</f>
      </c>
      <c r="S14" s="77">
        <f>IF(OR(ISNUMBER(H18),ISNUMBER(F20)),"4-6","")</f>
      </c>
      <c r="T14" s="74">
        <f>IF(AND(ISNA(MATCH(4,$L$4:$S$4,0)),ISNA(MATCH(6,$L$4:$S$4,0)),OR(ISNUMBER(H18),ISNUMBER(F20))),H18+F20,"")</f>
      </c>
      <c r="Y14" s="20" t="s">
        <v>25</v>
      </c>
      <c r="Z14" s="15" t="s">
        <v>26</v>
      </c>
      <c r="AA14" s="16" t="s">
        <v>27</v>
      </c>
      <c r="AB14" s="16" t="s">
        <v>28</v>
      </c>
      <c r="AC14" s="16" t="s">
        <v>29</v>
      </c>
      <c r="AD14" s="16" t="s">
        <v>30</v>
      </c>
      <c r="AE14" s="16" t="s">
        <v>31</v>
      </c>
      <c r="AF14" s="16" t="s">
        <v>32</v>
      </c>
      <c r="AG14" s="17" t="s">
        <v>33</v>
      </c>
    </row>
    <row r="15" spans="2:33" ht="13.5" customHeight="1" thickBot="1">
      <c r="B15" s="50">
        <v>1</v>
      </c>
      <c r="C15" s="144"/>
      <c r="D15" s="6">
        <v>10</v>
      </c>
      <c r="E15" s="6">
        <v>80</v>
      </c>
      <c r="F15" s="6"/>
      <c r="G15" s="6"/>
      <c r="H15" s="6"/>
      <c r="I15" s="6"/>
      <c r="J15" s="7"/>
      <c r="L15" s="103" t="str">
        <f>IF(ISNUMBER(E6),"B-C","")</f>
        <v>B-C</v>
      </c>
      <c r="M15" s="74">
        <f>IF(AND(ISBLANK(M4),ISBLANK(N4),ISNUMBER(E6)),E6,"")</f>
      </c>
      <c r="N15" s="100">
        <f>IF(ISNUMBER(I8),"D-G","")</f>
      </c>
      <c r="O15" s="74">
        <f>IF(AND(ISBLANK(O4),ISBLANK(R4),ISNUMBER(I8)),I8,"")</f>
      </c>
      <c r="Q15" s="77" t="str">
        <f>IF(OR(ISNUMBER(E16),ISNUMBER(D17)),"2-3","")</f>
        <v>2-3</v>
      </c>
      <c r="R15" s="74">
        <f>IF(AND(ISNA(MATCH(2,$L$4:$S$4,0)),ISNA(MATCH(3,$L$4:$S$4,0)),OR(ISNUMBER(E16),ISNUMBER(D17))),E16+D17,"")</f>
      </c>
      <c r="S15" s="77">
        <f>IF(OR(ISNUMBER(I18),ISNUMBER(F21)),"4-7","")</f>
      </c>
      <c r="T15" s="74">
        <f>IF(AND(ISNA(MATCH(4,$L$4:$S$4,0)),ISNA(MATCH(7,$L$4:$S$4,0)),OR(ISNUMBER(I18),ISNUMBER(F21))),I18+F21,"")</f>
      </c>
      <c r="Y15" s="35" t="s">
        <v>26</v>
      </c>
      <c r="Z15" s="52">
        <v>0</v>
      </c>
      <c r="AA15" s="53">
        <f aca="true" t="shared" si="2" ref="AA15:AG15">D5</f>
        <v>20</v>
      </c>
      <c r="AB15" s="53">
        <f t="shared" si="2"/>
        <v>40</v>
      </c>
      <c r="AC15" s="53">
        <f t="shared" si="2"/>
        <v>0</v>
      </c>
      <c r="AD15" s="53">
        <f t="shared" si="2"/>
        <v>0</v>
      </c>
      <c r="AE15" s="53">
        <f t="shared" si="2"/>
        <v>0</v>
      </c>
      <c r="AF15" s="53">
        <f t="shared" si="2"/>
        <v>0</v>
      </c>
      <c r="AG15" s="39">
        <f t="shared" si="2"/>
        <v>0</v>
      </c>
    </row>
    <row r="16" spans="2:33" ht="13.5" thickBot="1">
      <c r="B16" s="34">
        <v>2</v>
      </c>
      <c r="C16" s="72">
        <v>20</v>
      </c>
      <c r="D16" s="144"/>
      <c r="E16" s="8">
        <v>30</v>
      </c>
      <c r="F16" s="8"/>
      <c r="G16" s="8"/>
      <c r="H16" s="8"/>
      <c r="I16" s="8"/>
      <c r="J16" s="9"/>
      <c r="L16" s="100">
        <f>IF(ISNUMBER(F6),"B-D","")</f>
      </c>
      <c r="M16" s="74">
        <f>IF(AND(ISBLANK(M4),ISBLANK(O4),ISNUMBER(F6)),F6,"")</f>
      </c>
      <c r="N16" s="101">
        <f>IF(ISNUMBER(J8),"D-H","")</f>
      </c>
      <c r="O16" s="102">
        <f>IF(AND(ISBLANK(O4),ISBLANK(S4),ISNUMBER(J8)),J8,"")</f>
      </c>
      <c r="Q16" s="77">
        <f>IF(OR(ISNUMBER(F16),ISNUMBER(D18)),"2-4","")</f>
      </c>
      <c r="R16" s="74">
        <f>IF(AND(ISNA(MATCH(2,$L$4:$S$4,0)),ISNA(MATCH(4,$L$4:$S$4,0)),OR(ISNUMBER(F16),ISNUMBER(D18))),F16+D18,"")</f>
      </c>
      <c r="S16" s="105">
        <f>IF(OR(ISNUMBER(F22),ISNUMBER(J18)),"4-8","")</f>
      </c>
      <c r="T16" s="102">
        <f>IF(AND(ISNA(MATCH(4,$L$4:$S$4,0)),ISNA(MATCH(8,$L$4:$S$4,0)),OR(ISNUMBER(F22),ISNUMBER(J18))),J18+F22,"")</f>
      </c>
      <c r="Y16" s="35" t="s">
        <v>27</v>
      </c>
      <c r="Z16" s="28">
        <f>AA15</f>
        <v>20</v>
      </c>
      <c r="AA16" s="29">
        <v>0</v>
      </c>
      <c r="AB16" s="29">
        <f aca="true" t="shared" si="3" ref="AB16:AG16">E6</f>
        <v>30</v>
      </c>
      <c r="AC16" s="29">
        <f t="shared" si="3"/>
        <v>0</v>
      </c>
      <c r="AD16" s="29">
        <f t="shared" si="3"/>
        <v>0</v>
      </c>
      <c r="AE16" s="29">
        <f t="shared" si="3"/>
        <v>0</v>
      </c>
      <c r="AF16" s="29">
        <f t="shared" si="3"/>
        <v>0</v>
      </c>
      <c r="AG16" s="30">
        <f t="shared" si="3"/>
        <v>0</v>
      </c>
    </row>
    <row r="17" spans="2:33" ht="13.5" thickBot="1">
      <c r="B17" s="34">
        <v>3</v>
      </c>
      <c r="C17" s="72">
        <v>90</v>
      </c>
      <c r="D17" s="8">
        <v>70</v>
      </c>
      <c r="E17" s="144"/>
      <c r="F17" s="8"/>
      <c r="G17" s="8"/>
      <c r="H17" s="8"/>
      <c r="I17" s="8"/>
      <c r="J17" s="9"/>
      <c r="L17" s="100">
        <f>IF(ISNUMBER(G6),"B-E","")</f>
      </c>
      <c r="M17" s="74">
        <f>IF(AND(ISBLANK(M4),ISBLANK(P4),ISNUMBER(G6)),G6,"")</f>
      </c>
      <c r="N17" s="100">
        <f>IF(ISNUMBER(H9),"E-F","")</f>
      </c>
      <c r="O17" s="74">
        <f>IF(AND(ISBLANK(P4),ISBLANK(Q4),ISNUMBER(H9)),H9,"")</f>
      </c>
      <c r="Q17" s="77">
        <f>IF(OR(ISNUMBER(G16),ISNUMBER(D19)),"2-5","")</f>
      </c>
      <c r="R17" s="74">
        <f>IF(AND(ISNA(MATCH(2,$L$4:$S$4,0)),ISNA(MATCH(5,$L$4:$S$4,0)),OR(ISNUMBER(G16),ISNUMBER(D19))),G16+D19,"")</f>
      </c>
      <c r="S17" s="77">
        <f>IF(OR(ISNUMBER(H19),ISNUMBER(G20)),"5-6","")</f>
      </c>
      <c r="T17" s="74">
        <f>IF(AND(ISNA(MATCH(5,$L$4:$S$4,0)),ISNA(MATCH(6,$L$4:$S$4,0)),OR(ISNUMBER(H19),ISNUMBER(G20))),H19+G20,"")</f>
      </c>
      <c r="Y17" s="35" t="s">
        <v>28</v>
      </c>
      <c r="Z17" s="28">
        <f>AB15</f>
        <v>40</v>
      </c>
      <c r="AA17" s="29">
        <f>AB16</f>
        <v>30</v>
      </c>
      <c r="AB17" s="29">
        <v>0</v>
      </c>
      <c r="AC17" s="29">
        <f>F7</f>
        <v>0</v>
      </c>
      <c r="AD17" s="29">
        <f>G7</f>
        <v>0</v>
      </c>
      <c r="AE17" s="29">
        <f>H7</f>
        <v>0</v>
      </c>
      <c r="AF17" s="29">
        <f>I7</f>
        <v>0</v>
      </c>
      <c r="AG17" s="30">
        <f>J7</f>
        <v>0</v>
      </c>
    </row>
    <row r="18" spans="2:33" ht="13.5" thickBot="1">
      <c r="B18" s="34">
        <v>4</v>
      </c>
      <c r="C18" s="72"/>
      <c r="D18" s="8"/>
      <c r="E18" s="8"/>
      <c r="F18" s="144"/>
      <c r="G18" s="8"/>
      <c r="H18" s="8"/>
      <c r="I18" s="8"/>
      <c r="J18" s="9"/>
      <c r="L18" s="100">
        <f>IF(ISNUMBER(H6),"B-F","")</f>
      </c>
      <c r="M18" s="74">
        <f>IF(AND(ISBLANK(M4),ISBLANK(Q4),ISNUMBER(H6)),H6,"")</f>
      </c>
      <c r="N18" s="100">
        <f>IF(ISNUMBER(I9),"E-G","")</f>
      </c>
      <c r="O18" s="74">
        <f>IF(AND(ISBLANK(P4),ISBLANK(R4),ISNUMBER(I9)),I9,"")</f>
      </c>
      <c r="Q18" s="77">
        <f>IF(OR(ISNUMBER(H16),ISNUMBER(D20)),"2-6","")</f>
      </c>
      <c r="R18" s="74">
        <f>IF(AND(ISNA(MATCH(2,$L$4:$S$4,0)),ISNA(MATCH(6,$L$4:$S$4,0)),OR(ISNUMBER(H16),ISNUMBER(D20))),H16+D20,"")</f>
      </c>
      <c r="S18" s="77">
        <f>IF(OR(ISNUMBER(I19),ISNUMBER(G21)),"5-7","")</f>
      </c>
      <c r="T18" s="74">
        <f>IF(AND(ISNA(MATCH(5,$L$4:$S$4,0)),ISNA(MATCH(7,$L$4:$S$4,0)),OR(ISNUMBER(I19),ISNUMBER(G21))),I19+G21,"")</f>
      </c>
      <c r="Y18" s="35" t="s">
        <v>29</v>
      </c>
      <c r="Z18" s="28">
        <f>AC15</f>
        <v>0</v>
      </c>
      <c r="AA18" s="29">
        <f>AC16</f>
        <v>0</v>
      </c>
      <c r="AB18" s="29">
        <f>AC17</f>
        <v>0</v>
      </c>
      <c r="AC18" s="29">
        <v>0</v>
      </c>
      <c r="AD18" s="29">
        <f>G8</f>
        <v>0</v>
      </c>
      <c r="AE18" s="29">
        <f>H8</f>
        <v>0</v>
      </c>
      <c r="AF18" s="29">
        <f>I8</f>
        <v>0</v>
      </c>
      <c r="AG18" s="30">
        <f>J8</f>
        <v>0</v>
      </c>
    </row>
    <row r="19" spans="2:33" ht="13.5" thickBot="1">
      <c r="B19" s="34">
        <v>5</v>
      </c>
      <c r="C19" s="72"/>
      <c r="D19" s="8"/>
      <c r="E19" s="8"/>
      <c r="F19" s="8"/>
      <c r="G19" s="144"/>
      <c r="H19" s="8"/>
      <c r="I19" s="8"/>
      <c r="J19" s="9"/>
      <c r="L19" s="100">
        <f>IF(ISNUMBER(I6),"B-G","")</f>
      </c>
      <c r="M19" s="74">
        <f>IF(AND(ISBLANK(M4),ISBLANK(R4),ISNUMBER(I6)),I6,"")</f>
      </c>
      <c r="N19" s="101">
        <f>IF(ISNUMBER(J9),"E-H","")</f>
      </c>
      <c r="O19" s="102">
        <f>IF(AND(ISBLANK(P4),ISBLANK(S4),ISNUMBER(J9)),J9,"")</f>
      </c>
      <c r="Q19" s="77">
        <f>IF(OR(ISNUMBER(I16),ISNUMBER(D21)),"2-7","")</f>
      </c>
      <c r="R19" s="74">
        <f>IF(AND(ISNA(MATCH(2,$L$4:$S$4,0)),ISNA(MATCH(7,$L$4:$S$4,0)),OR(ISNUMBER(I16),ISNUMBER(D21))),I16+D21,"")</f>
      </c>
      <c r="S19" s="105">
        <f>IF(OR(ISNUMBER(J19),ISNUMBER(G22)),"5-8","")</f>
      </c>
      <c r="T19" s="102">
        <f>IF(AND(ISNA(MATCH(5,$L$4:$S$4,0)),ISNA(MATCH(8,$L$4:$S$4,0)),OR(ISNUMBER(J19),ISNUMBER(G22))),J19+G22,"")</f>
      </c>
      <c r="Y19" s="35" t="s">
        <v>30</v>
      </c>
      <c r="Z19" s="28">
        <f>AD15</f>
        <v>0</v>
      </c>
      <c r="AA19" s="29">
        <f>AD16</f>
        <v>0</v>
      </c>
      <c r="AB19" s="29">
        <f>AD17</f>
        <v>0</v>
      </c>
      <c r="AC19" s="29">
        <f>AD18</f>
        <v>0</v>
      </c>
      <c r="AD19" s="29">
        <v>0</v>
      </c>
      <c r="AE19" s="29">
        <f>H9</f>
        <v>0</v>
      </c>
      <c r="AF19" s="29">
        <f>I9</f>
        <v>0</v>
      </c>
      <c r="AG19" s="30">
        <f>J9</f>
        <v>0</v>
      </c>
    </row>
    <row r="20" spans="2:33" ht="13.5" thickBot="1">
      <c r="B20" s="34">
        <v>6</v>
      </c>
      <c r="C20" s="72"/>
      <c r="D20" s="8"/>
      <c r="E20" s="8"/>
      <c r="F20" s="8"/>
      <c r="G20" s="8"/>
      <c r="H20" s="144"/>
      <c r="I20" s="8"/>
      <c r="J20" s="9"/>
      <c r="L20" s="104">
        <f>IF(ISNUMBER(J6),"B-H","")</f>
      </c>
      <c r="M20" s="2">
        <f>IF(AND(ISBLANK(M4),ISBLANK(S4),ISNUMBER(J6)),J6,"")</f>
      </c>
      <c r="N20" s="100">
        <f>IF(ISNUMBER(I10),"F-G","")</f>
      </c>
      <c r="O20" s="74">
        <f>IF(AND(ISBLANK(Q4),ISBLANK(R4),ISNUMBER(I10)),I10,"")</f>
      </c>
      <c r="Q20" s="78">
        <f>IF(OR(ISNUMBER(J16),ISNUMBER(D22)),"2-8","")</f>
      </c>
      <c r="R20" s="2">
        <f>IF(AND(ISNA(MATCH(2,$L$4:$S$4,0)),ISNA(MATCH(8,$L$4:$S$4,0)),OR(ISNUMBER(J16),ISNUMBER(D22))),J16+D22,"")</f>
      </c>
      <c r="S20" s="77">
        <f>IF(OR(ISNUMBER(I20),ISNUMBER(H21)),"6-7","")</f>
      </c>
      <c r="T20" s="74">
        <f>IF(AND(ISNA(MATCH(6,$L$4:$S$4,0)),ISNA(MATCH(7,$L$4:$S$4,0)),OR(ISNUMBER(I20),ISNUMBER(H21))),I20+H21,"")</f>
      </c>
      <c r="Y20" s="35" t="s">
        <v>31</v>
      </c>
      <c r="Z20" s="28">
        <f>AE15</f>
        <v>0</v>
      </c>
      <c r="AA20" s="29">
        <f>AE16</f>
        <v>0</v>
      </c>
      <c r="AB20" s="29">
        <f>AE17</f>
        <v>0</v>
      </c>
      <c r="AC20" s="29">
        <f>AE18</f>
        <v>0</v>
      </c>
      <c r="AD20" s="29">
        <f>AE19</f>
        <v>0</v>
      </c>
      <c r="AE20" s="29">
        <v>0</v>
      </c>
      <c r="AF20" s="29">
        <f>I10</f>
        <v>0</v>
      </c>
      <c r="AG20" s="30">
        <f>J10</f>
        <v>0</v>
      </c>
    </row>
    <row r="21" spans="2:33" ht="13.5" thickBot="1">
      <c r="B21" s="34">
        <v>7</v>
      </c>
      <c r="C21" s="72"/>
      <c r="D21" s="8"/>
      <c r="E21" s="8"/>
      <c r="F21" s="8"/>
      <c r="G21" s="8"/>
      <c r="H21" s="8"/>
      <c r="I21" s="144"/>
      <c r="J21" s="9"/>
      <c r="N21" s="101">
        <f>IF(ISNUMBER(J10),"F-H","")</f>
      </c>
      <c r="O21" s="102">
        <f>IF(AND(ISBLANK(Q4),ISBLANK(S4),ISNUMBER(J10)),J10,"")</f>
      </c>
      <c r="S21" s="105">
        <f>IF(OR(ISNUMBER(J20),ISNUMBER(H22)),"6-8","")</f>
      </c>
      <c r="T21" s="102">
        <f>IF(AND(ISNA(MATCH(6,$L$4:$S$4,0)),ISNA(MATCH(8,$L$4:$S$4,0)),OR(ISNUMBER(J20),ISNUMBER(H22))),J20+H22,"")</f>
      </c>
      <c r="Y21" s="35" t="s">
        <v>32</v>
      </c>
      <c r="Z21" s="28">
        <f>AF15</f>
        <v>0</v>
      </c>
      <c r="AA21" s="29">
        <f>AF16</f>
        <v>0</v>
      </c>
      <c r="AB21" s="29">
        <f>AF17</f>
        <v>0</v>
      </c>
      <c r="AC21" s="29">
        <f>AF18</f>
        <v>0</v>
      </c>
      <c r="AD21" s="29">
        <f>AF19</f>
        <v>0</v>
      </c>
      <c r="AE21" s="29">
        <f>AF20</f>
        <v>0</v>
      </c>
      <c r="AF21" s="29">
        <v>0</v>
      </c>
      <c r="AG21" s="30">
        <f>J11</f>
        <v>0</v>
      </c>
    </row>
    <row r="22" spans="2:33" ht="13.5" thickBot="1">
      <c r="B22" s="43">
        <v>8</v>
      </c>
      <c r="C22" s="73"/>
      <c r="D22" s="10"/>
      <c r="E22" s="10"/>
      <c r="F22" s="10"/>
      <c r="G22" s="10"/>
      <c r="H22" s="10"/>
      <c r="I22" s="10"/>
      <c r="J22" s="144"/>
      <c r="N22" s="104">
        <f>IF(ISNUMBER(J11),"G-H","")</f>
      </c>
      <c r="O22" s="2">
        <f>IF(AND(ISBLANK(R4),ISBLANK(S4),ISNUMBER(J11)),J11,"")</f>
      </c>
      <c r="S22" s="78">
        <f>IF(OR(ISNUMBER(J21),ISNUMBER(I22)),"7-8","")</f>
      </c>
      <c r="T22" s="2">
        <f>IF(AND(ISNA(MATCH(7,$L$4:$S$4,0)),ISNA(MATCH(8,$L$4:$S$4,0)),OR(ISNUMBER(J21),ISNUMBER(I22))),J21+I22,"")</f>
      </c>
      <c r="Y22" s="45" t="s">
        <v>33</v>
      </c>
      <c r="Z22" s="46">
        <f>AG15</f>
        <v>0</v>
      </c>
      <c r="AA22" s="47">
        <f>AG16</f>
        <v>0</v>
      </c>
      <c r="AB22" s="47">
        <f>AG17</f>
        <v>0</v>
      </c>
      <c r="AC22" s="47">
        <f>AG18</f>
        <v>0</v>
      </c>
      <c r="AD22" s="47">
        <f>AG19</f>
        <v>0</v>
      </c>
      <c r="AE22" s="47">
        <f>AG20</f>
        <v>0</v>
      </c>
      <c r="AF22" s="47">
        <f>AG21</f>
        <v>0</v>
      </c>
      <c r="AG22" s="48">
        <v>0</v>
      </c>
    </row>
    <row r="23" spans="3:10" ht="12.75">
      <c r="C23" s="40"/>
      <c r="D23" s="40"/>
      <c r="E23" s="40"/>
      <c r="F23" s="40"/>
      <c r="G23" s="40"/>
      <c r="H23" s="40"/>
      <c r="I23" s="40"/>
      <c r="J23" s="40"/>
    </row>
    <row r="25" spans="11:21" ht="12.75"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1:21" ht="12.75"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ht="12.75">
      <c r="A27"/>
    </row>
    <row r="28" ht="12.75">
      <c r="A28"/>
    </row>
  </sheetData>
  <sheetProtection password="A753" sheet="1" objects="1" scenarios="1"/>
  <conditionalFormatting sqref="M8:M20 O8:O22">
    <cfRule type="expression" priority="1" dxfId="0" stopIfTrue="1">
      <formula>M8=MIN($M$8:$M$20,$O$8:$O$22)</formula>
    </cfRule>
  </conditionalFormatting>
  <conditionalFormatting sqref="R8:R20 T8:T22">
    <cfRule type="expression" priority="2" dxfId="0" stopIfTrue="1">
      <formula>R8=MAX($R$8:$R$20,$T$8:$T$22)</formula>
    </cfRule>
  </conditionalFormatting>
  <printOptions gridLines="1"/>
  <pageMargins left="0.75" right="0.75" top="1" bottom="1" header="0.5" footer="0.5"/>
  <pageSetup horizontalDpi="180" verticalDpi="180" orientation="landscape" r:id="rId2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U64"/>
  <sheetViews>
    <sheetView workbookViewId="0" topLeftCell="A44">
      <selection activeCell="M46" sqref="M46:T46"/>
    </sheetView>
  </sheetViews>
  <sheetFormatPr defaultColWidth="9.140625" defaultRowHeight="12.75"/>
  <cols>
    <col min="1" max="1" width="3.7109375" style="93" customWidth="1"/>
    <col min="2" max="2" width="2.7109375" style="14" customWidth="1"/>
    <col min="3" max="14" width="5.57421875" style="14" customWidth="1"/>
    <col min="15" max="20" width="5.57421875" style="0" customWidth="1"/>
  </cols>
  <sheetData>
    <row r="1" ht="12.75">
      <c r="A1" s="94" t="s">
        <v>50</v>
      </c>
    </row>
    <row r="3" spans="1:16" ht="12.75">
      <c r="A3" s="95" t="s">
        <v>47</v>
      </c>
      <c r="B3" s="13" t="s">
        <v>42</v>
      </c>
      <c r="C3" s="54"/>
      <c r="D3" s="54"/>
      <c r="E3" s="54"/>
      <c r="F3" s="54"/>
      <c r="G3" s="54"/>
      <c r="O3" s="14"/>
      <c r="P3" s="14"/>
    </row>
    <row r="4" spans="2:16" ht="12.75">
      <c r="B4" s="54"/>
      <c r="C4" s="54"/>
      <c r="D4" s="54"/>
      <c r="E4" s="54"/>
      <c r="F4" s="54"/>
      <c r="G4" s="54"/>
      <c r="O4" s="14"/>
      <c r="P4" s="14"/>
    </row>
    <row r="5" spans="2:16" ht="13.5" thickBot="1">
      <c r="B5" s="18" t="s">
        <v>0</v>
      </c>
      <c r="O5" s="14"/>
      <c r="P5" s="14"/>
    </row>
    <row r="6" spans="3:16" ht="13.5" thickBot="1">
      <c r="C6" s="36" t="s">
        <v>1</v>
      </c>
      <c r="D6" s="55" t="s">
        <v>2</v>
      </c>
      <c r="E6" s="56"/>
      <c r="F6" s="56"/>
      <c r="G6" s="57" t="s">
        <v>3</v>
      </c>
      <c r="I6" s="19" t="s">
        <v>57</v>
      </c>
      <c r="O6" s="14"/>
      <c r="P6" s="14"/>
    </row>
    <row r="7" spans="3:16" ht="13.5" thickBot="1">
      <c r="C7" s="36" t="s">
        <v>4</v>
      </c>
      <c r="D7" s="84"/>
      <c r="E7" s="6"/>
      <c r="F7" s="7"/>
      <c r="G7" s="81">
        <v>0.1</v>
      </c>
      <c r="I7" s="147" t="s">
        <v>6</v>
      </c>
      <c r="J7" s="32"/>
      <c r="K7" s="32"/>
      <c r="L7" s="148" t="s">
        <v>55</v>
      </c>
      <c r="M7" s="149">
        <v>1</v>
      </c>
      <c r="O7" s="14"/>
      <c r="P7" s="14"/>
    </row>
    <row r="8" spans="3:16" ht="12.75">
      <c r="C8" s="58" t="s">
        <v>5</v>
      </c>
      <c r="D8" s="72" t="s">
        <v>4</v>
      </c>
      <c r="E8" s="8"/>
      <c r="F8" s="9"/>
      <c r="G8" s="82">
        <v>1</v>
      </c>
      <c r="I8"/>
      <c r="J8"/>
      <c r="K8"/>
      <c r="L8"/>
      <c r="M8"/>
      <c r="O8" s="14"/>
      <c r="P8" s="14"/>
    </row>
    <row r="9" spans="3:16" ht="12.75">
      <c r="C9" s="58" t="s">
        <v>7</v>
      </c>
      <c r="D9" s="72"/>
      <c r="E9" s="8"/>
      <c r="F9" s="9"/>
      <c r="G9" s="82">
        <v>0.7</v>
      </c>
      <c r="O9" s="14"/>
      <c r="P9" s="14"/>
    </row>
    <row r="10" spans="3:16" ht="13.5" thickBot="1">
      <c r="C10" s="58" t="s">
        <v>8</v>
      </c>
      <c r="D10" s="72" t="s">
        <v>5</v>
      </c>
      <c r="E10" s="8" t="s">
        <v>7</v>
      </c>
      <c r="F10" s="9"/>
      <c r="G10" s="82">
        <v>0.5</v>
      </c>
      <c r="I10" s="18" t="s">
        <v>9</v>
      </c>
      <c r="O10" s="14"/>
      <c r="P10" s="14"/>
    </row>
    <row r="11" spans="3:16" ht="13.5" thickBot="1">
      <c r="C11" s="58" t="s">
        <v>10</v>
      </c>
      <c r="D11" s="72" t="s">
        <v>8</v>
      </c>
      <c r="E11" s="8"/>
      <c r="F11" s="9"/>
      <c r="G11" s="82">
        <v>0.2</v>
      </c>
      <c r="I11" s="114"/>
      <c r="J11" s="132" t="s">
        <v>54</v>
      </c>
      <c r="K11" s="15">
        <v>1</v>
      </c>
      <c r="L11" s="16">
        <v>2</v>
      </c>
      <c r="M11" s="16">
        <v>3</v>
      </c>
      <c r="N11" s="16">
        <v>4</v>
      </c>
      <c r="O11" s="16">
        <v>5</v>
      </c>
      <c r="P11" s="17">
        <v>6</v>
      </c>
    </row>
    <row r="12" spans="3:16" ht="12.75">
      <c r="C12" s="58" t="s">
        <v>11</v>
      </c>
      <c r="D12" s="72"/>
      <c r="E12" s="8"/>
      <c r="F12" s="9"/>
      <c r="G12" s="82"/>
      <c r="I12" s="89"/>
      <c r="J12" s="40"/>
      <c r="K12" s="112" t="s">
        <v>4</v>
      </c>
      <c r="L12" s="86" t="s">
        <v>5</v>
      </c>
      <c r="M12" s="86" t="s">
        <v>8</v>
      </c>
      <c r="N12" s="86"/>
      <c r="O12" s="86"/>
      <c r="P12" s="87"/>
    </row>
    <row r="13" spans="3:16" ht="12.75">
      <c r="C13" s="58" t="s">
        <v>12</v>
      </c>
      <c r="D13" s="72"/>
      <c r="E13" s="8"/>
      <c r="F13" s="9"/>
      <c r="G13" s="82"/>
      <c r="I13" s="90"/>
      <c r="J13" s="25"/>
      <c r="K13" s="113" t="s">
        <v>7</v>
      </c>
      <c r="L13" s="12"/>
      <c r="M13" s="12" t="s">
        <v>10</v>
      </c>
      <c r="N13" s="12"/>
      <c r="O13" s="12"/>
      <c r="P13" s="88"/>
    </row>
    <row r="14" spans="3:16" ht="12.75">
      <c r="C14" s="58" t="s">
        <v>13</v>
      </c>
      <c r="D14" s="72"/>
      <c r="E14" s="8"/>
      <c r="F14" s="9"/>
      <c r="G14" s="82"/>
      <c r="I14" s="31"/>
      <c r="J14" s="25"/>
      <c r="K14" s="113"/>
      <c r="L14" s="12"/>
      <c r="M14" s="12"/>
      <c r="N14" s="12"/>
      <c r="O14" s="12"/>
      <c r="P14" s="88"/>
    </row>
    <row r="15" spans="3:16" ht="12.75">
      <c r="C15" s="58" t="s">
        <v>14</v>
      </c>
      <c r="D15" s="72"/>
      <c r="E15" s="8"/>
      <c r="F15" s="9"/>
      <c r="G15" s="82"/>
      <c r="I15" s="115"/>
      <c r="J15" s="25"/>
      <c r="K15" s="113"/>
      <c r="L15" s="12"/>
      <c r="M15" s="12"/>
      <c r="N15" s="12"/>
      <c r="O15" s="12"/>
      <c r="P15" s="88"/>
    </row>
    <row r="16" spans="3:16" ht="13.5" thickBot="1">
      <c r="C16" s="58" t="s">
        <v>15</v>
      </c>
      <c r="D16" s="72"/>
      <c r="E16" s="8"/>
      <c r="F16" s="9"/>
      <c r="G16" s="82"/>
      <c r="I16" s="96"/>
      <c r="J16" s="38"/>
      <c r="K16" s="72"/>
      <c r="L16" s="8"/>
      <c r="M16" s="8"/>
      <c r="N16" s="8"/>
      <c r="O16" s="8"/>
      <c r="P16" s="9"/>
    </row>
    <row r="17" spans="3:16" ht="12.75">
      <c r="C17" s="58" t="s">
        <v>17</v>
      </c>
      <c r="D17" s="72"/>
      <c r="E17" s="8"/>
      <c r="F17" s="9"/>
      <c r="G17" s="82"/>
      <c r="I17" s="62" t="s">
        <v>16</v>
      </c>
      <c r="K17" s="59">
        <v>0.8</v>
      </c>
      <c r="L17" s="60">
        <v>1</v>
      </c>
      <c r="M17" s="60">
        <v>0.7</v>
      </c>
      <c r="N17" s="60">
        <v>0</v>
      </c>
      <c r="O17" s="60">
        <v>0</v>
      </c>
      <c r="P17" s="61">
        <v>0</v>
      </c>
    </row>
    <row r="18" spans="3:16" ht="13.5" thickBot="1">
      <c r="C18" s="58" t="s">
        <v>19</v>
      </c>
      <c r="D18" s="72"/>
      <c r="E18" s="8"/>
      <c r="F18" s="9"/>
      <c r="G18" s="82"/>
      <c r="I18" s="62" t="s">
        <v>18</v>
      </c>
      <c r="K18" s="117">
        <v>0.2</v>
      </c>
      <c r="L18" s="63">
        <v>0</v>
      </c>
      <c r="M18" s="63">
        <v>0.3</v>
      </c>
      <c r="N18" s="63" t="s">
        <v>53</v>
      </c>
      <c r="O18" s="63" t="s">
        <v>53</v>
      </c>
      <c r="P18" s="64" t="s">
        <v>53</v>
      </c>
    </row>
    <row r="19" spans="3:16" ht="13.5" thickBot="1">
      <c r="C19" s="66" t="s">
        <v>46</v>
      </c>
      <c r="D19" s="73"/>
      <c r="E19" s="10"/>
      <c r="F19" s="11"/>
      <c r="G19" s="83"/>
      <c r="H19" s="85"/>
      <c r="I19" s="65" t="s">
        <v>20</v>
      </c>
      <c r="J19" s="40"/>
      <c r="K19" s="71"/>
      <c r="L19" s="71"/>
      <c r="M19" s="25"/>
      <c r="N19" s="116"/>
      <c r="O19" s="145">
        <v>0.1666666666666667</v>
      </c>
      <c r="P19" s="116"/>
    </row>
    <row r="20" spans="3:16" ht="13.5" thickBot="1">
      <c r="C20" s="67"/>
      <c r="D20" s="68"/>
      <c r="E20" s="68"/>
      <c r="F20" s="69" t="s">
        <v>21</v>
      </c>
      <c r="G20" s="70">
        <v>2.5</v>
      </c>
      <c r="I20" s="37" t="s">
        <v>22</v>
      </c>
      <c r="J20" s="38"/>
      <c r="K20" s="63"/>
      <c r="L20" s="63"/>
      <c r="M20" s="38"/>
      <c r="N20" s="98"/>
      <c r="O20" s="146">
        <v>0.8333333333333333</v>
      </c>
      <c r="P20" s="98"/>
    </row>
    <row r="21" spans="8:16" ht="12.75">
      <c r="H21" s="25"/>
      <c r="I21" s="133"/>
      <c r="J21" s="25"/>
      <c r="K21" s="71"/>
      <c r="L21" s="71"/>
      <c r="M21" s="25"/>
      <c r="N21" s="111"/>
      <c r="O21" s="134"/>
      <c r="P21" s="111"/>
    </row>
    <row r="22" spans="8:16" ht="12.75">
      <c r="H22" s="25"/>
      <c r="I22" s="133"/>
      <c r="J22" s="25"/>
      <c r="K22" s="71"/>
      <c r="L22" s="71"/>
      <c r="M22" s="25"/>
      <c r="N22" s="111"/>
      <c r="O22" s="134"/>
      <c r="P22" s="111"/>
    </row>
    <row r="23" spans="1:16" ht="12.75">
      <c r="A23" s="95" t="s">
        <v>48</v>
      </c>
      <c r="B23" s="13" t="s">
        <v>42</v>
      </c>
      <c r="C23" s="54"/>
      <c r="D23" s="54"/>
      <c r="E23" s="54"/>
      <c r="F23" s="54"/>
      <c r="G23" s="54"/>
      <c r="O23" s="14"/>
      <c r="P23" s="14"/>
    </row>
    <row r="24" spans="2:16" ht="12.75">
      <c r="B24" s="54"/>
      <c r="C24" s="54"/>
      <c r="D24" s="54"/>
      <c r="E24" s="54"/>
      <c r="F24" s="54"/>
      <c r="G24" s="54"/>
      <c r="O24" s="14"/>
      <c r="P24" s="14"/>
    </row>
    <row r="25" spans="2:16" ht="13.5" thickBot="1">
      <c r="B25" s="18" t="s">
        <v>0</v>
      </c>
      <c r="O25" s="14"/>
      <c r="P25" s="14"/>
    </row>
    <row r="26" spans="3:16" ht="13.5" thickBot="1">
      <c r="C26" s="36" t="s">
        <v>1</v>
      </c>
      <c r="D26" s="55" t="s">
        <v>2</v>
      </c>
      <c r="E26" s="56"/>
      <c r="F26" s="56"/>
      <c r="G26" s="57" t="s">
        <v>3</v>
      </c>
      <c r="I26" s="19" t="s">
        <v>57</v>
      </c>
      <c r="O26" s="14"/>
      <c r="P26" s="14"/>
    </row>
    <row r="27" spans="3:16" ht="13.5" thickBot="1">
      <c r="C27" s="36" t="s">
        <v>4</v>
      </c>
      <c r="D27" s="84"/>
      <c r="E27" s="6"/>
      <c r="F27" s="7"/>
      <c r="G27" s="81">
        <v>0.2</v>
      </c>
      <c r="I27" s="147" t="s">
        <v>6</v>
      </c>
      <c r="J27" s="32"/>
      <c r="K27" s="32"/>
      <c r="L27" s="148" t="s">
        <v>55</v>
      </c>
      <c r="M27" s="149">
        <v>1.2</v>
      </c>
      <c r="O27" s="14"/>
      <c r="P27" s="14"/>
    </row>
    <row r="28" spans="3:16" ht="12.75">
      <c r="C28" s="58" t="s">
        <v>5</v>
      </c>
      <c r="D28" s="72" t="s">
        <v>4</v>
      </c>
      <c r="E28" s="8"/>
      <c r="F28" s="9"/>
      <c r="G28" s="82">
        <v>0.2</v>
      </c>
      <c r="I28"/>
      <c r="J28"/>
      <c r="K28"/>
      <c r="L28"/>
      <c r="M28"/>
      <c r="O28" s="14"/>
      <c r="P28" s="14"/>
    </row>
    <row r="29" spans="3:16" ht="12.75">
      <c r="C29" s="58" t="s">
        <v>7</v>
      </c>
      <c r="D29" s="72"/>
      <c r="E29" s="8"/>
      <c r="F29" s="9"/>
      <c r="G29" s="82">
        <v>0.8</v>
      </c>
      <c r="O29" s="14"/>
      <c r="P29" s="14"/>
    </row>
    <row r="30" spans="3:16" ht="13.5" thickBot="1">
      <c r="C30" s="58" t="s">
        <v>8</v>
      </c>
      <c r="D30" s="72" t="s">
        <v>7</v>
      </c>
      <c r="E30" s="8"/>
      <c r="F30" s="9"/>
      <c r="G30" s="82">
        <v>0.6</v>
      </c>
      <c r="I30" s="18" t="s">
        <v>9</v>
      </c>
      <c r="O30" s="14"/>
      <c r="P30" s="14"/>
    </row>
    <row r="31" spans="3:16" ht="13.5" thickBot="1">
      <c r="C31" s="58" t="s">
        <v>10</v>
      </c>
      <c r="D31" s="72" t="s">
        <v>5</v>
      </c>
      <c r="E31" s="8"/>
      <c r="F31" s="9"/>
      <c r="G31" s="82">
        <v>0.3</v>
      </c>
      <c r="I31" s="114"/>
      <c r="J31" s="132" t="s">
        <v>54</v>
      </c>
      <c r="K31" s="15">
        <v>1</v>
      </c>
      <c r="L31" s="16">
        <v>2</v>
      </c>
      <c r="M31" s="16">
        <v>3</v>
      </c>
      <c r="N31" s="16">
        <v>4</v>
      </c>
      <c r="O31" s="16">
        <v>5</v>
      </c>
      <c r="P31" s="17">
        <v>6</v>
      </c>
    </row>
    <row r="32" spans="3:16" ht="12.75">
      <c r="C32" s="58" t="s">
        <v>11</v>
      </c>
      <c r="D32" s="72" t="s">
        <v>8</v>
      </c>
      <c r="E32" s="8" t="s">
        <v>10</v>
      </c>
      <c r="F32" s="9"/>
      <c r="G32" s="82">
        <v>1</v>
      </c>
      <c r="I32" s="89"/>
      <c r="J32" s="40"/>
      <c r="K32" s="112" t="s">
        <v>4</v>
      </c>
      <c r="L32" s="86" t="s">
        <v>8</v>
      </c>
      <c r="M32" s="86" t="s">
        <v>11</v>
      </c>
      <c r="N32" s="86" t="s">
        <v>12</v>
      </c>
      <c r="O32" s="86"/>
      <c r="P32" s="87"/>
    </row>
    <row r="33" spans="3:16" ht="12.75">
      <c r="C33" s="58" t="s">
        <v>12</v>
      </c>
      <c r="D33" s="72" t="s">
        <v>11</v>
      </c>
      <c r="E33" s="8"/>
      <c r="F33" s="9"/>
      <c r="G33" s="82">
        <v>0.4</v>
      </c>
      <c r="I33" s="90"/>
      <c r="J33" s="25"/>
      <c r="K33" s="113" t="s">
        <v>7</v>
      </c>
      <c r="L33" s="12" t="s">
        <v>10</v>
      </c>
      <c r="M33" s="12"/>
      <c r="N33" s="12" t="s">
        <v>13</v>
      </c>
      <c r="O33" s="12"/>
      <c r="P33" s="88"/>
    </row>
    <row r="34" spans="3:16" ht="12.75">
      <c r="C34" s="58" t="s">
        <v>13</v>
      </c>
      <c r="D34" s="72" t="s">
        <v>12</v>
      </c>
      <c r="E34" s="8"/>
      <c r="F34" s="9"/>
      <c r="G34" s="82">
        <v>0.3</v>
      </c>
      <c r="I34" s="31"/>
      <c r="J34" s="25"/>
      <c r="K34" s="113" t="s">
        <v>5</v>
      </c>
      <c r="L34" s="12"/>
      <c r="M34" s="12"/>
      <c r="N34" s="12"/>
      <c r="O34" s="12"/>
      <c r="P34" s="88"/>
    </row>
    <row r="35" spans="3:16" ht="12.75">
      <c r="C35" s="58" t="s">
        <v>14</v>
      </c>
      <c r="D35" s="72"/>
      <c r="E35" s="8"/>
      <c r="F35" s="9"/>
      <c r="G35" s="82"/>
      <c r="I35" s="115"/>
      <c r="J35" s="25"/>
      <c r="K35" s="113"/>
      <c r="L35" s="12"/>
      <c r="M35" s="12"/>
      <c r="N35" s="12"/>
      <c r="O35" s="12"/>
      <c r="P35" s="88"/>
    </row>
    <row r="36" spans="3:16" ht="13.5" thickBot="1">
      <c r="C36" s="58" t="s">
        <v>15</v>
      </c>
      <c r="D36" s="72"/>
      <c r="E36" s="8"/>
      <c r="F36" s="9"/>
      <c r="G36" s="82"/>
      <c r="I36" s="96"/>
      <c r="J36" s="38"/>
      <c r="K36" s="72"/>
      <c r="L36" s="8"/>
      <c r="M36" s="8"/>
      <c r="N36" s="8"/>
      <c r="O36" s="8"/>
      <c r="P36" s="9"/>
    </row>
    <row r="37" spans="3:16" ht="12.75">
      <c r="C37" s="58" t="s">
        <v>17</v>
      </c>
      <c r="D37" s="72"/>
      <c r="E37" s="8"/>
      <c r="F37" s="9"/>
      <c r="G37" s="82"/>
      <c r="I37" s="62" t="s">
        <v>16</v>
      </c>
      <c r="K37" s="59">
        <v>1.2</v>
      </c>
      <c r="L37" s="60">
        <v>0.9</v>
      </c>
      <c r="M37" s="60">
        <v>1</v>
      </c>
      <c r="N37" s="60">
        <v>0.7</v>
      </c>
      <c r="O37" s="60">
        <v>0</v>
      </c>
      <c r="P37" s="61">
        <v>0</v>
      </c>
    </row>
    <row r="38" spans="3:16" ht="13.5" thickBot="1">
      <c r="C38" s="58" t="s">
        <v>19</v>
      </c>
      <c r="D38" s="72"/>
      <c r="E38" s="8"/>
      <c r="F38" s="9"/>
      <c r="G38" s="82"/>
      <c r="I38" s="62" t="s">
        <v>18</v>
      </c>
      <c r="K38" s="117">
        <v>0</v>
      </c>
      <c r="L38" s="63">
        <v>0.3</v>
      </c>
      <c r="M38" s="63">
        <v>0.2</v>
      </c>
      <c r="N38" s="63">
        <v>0.5</v>
      </c>
      <c r="O38" s="63" t="s">
        <v>53</v>
      </c>
      <c r="P38" s="64" t="s">
        <v>53</v>
      </c>
    </row>
    <row r="39" spans="3:16" ht="13.5" thickBot="1">
      <c r="C39" s="66" t="s">
        <v>46</v>
      </c>
      <c r="D39" s="73"/>
      <c r="E39" s="10"/>
      <c r="F39" s="11"/>
      <c r="G39" s="83"/>
      <c r="H39" s="85"/>
      <c r="I39" s="65" t="s">
        <v>20</v>
      </c>
      <c r="J39" s="40"/>
      <c r="K39" s="71"/>
      <c r="L39" s="71"/>
      <c r="M39" s="25"/>
      <c r="N39" s="116"/>
      <c r="O39" s="145">
        <v>0.20833333333333334</v>
      </c>
      <c r="P39" s="116"/>
    </row>
    <row r="40" spans="3:16" ht="13.5" thickBot="1">
      <c r="C40" s="67"/>
      <c r="D40" s="68"/>
      <c r="E40" s="68"/>
      <c r="F40" s="69" t="s">
        <v>21</v>
      </c>
      <c r="G40" s="70">
        <v>3.8</v>
      </c>
      <c r="I40" s="37" t="s">
        <v>22</v>
      </c>
      <c r="J40" s="38"/>
      <c r="K40" s="63"/>
      <c r="L40" s="63"/>
      <c r="M40" s="38"/>
      <c r="N40" s="98"/>
      <c r="O40" s="146">
        <v>0.7916666666666666</v>
      </c>
      <c r="P40" s="98"/>
    </row>
    <row r="41" spans="8:16" ht="12.75">
      <c r="H41" s="25"/>
      <c r="I41" s="133"/>
      <c r="J41" s="25"/>
      <c r="K41" s="71"/>
      <c r="L41" s="71"/>
      <c r="M41" s="25"/>
      <c r="N41" s="111"/>
      <c r="O41" s="134"/>
      <c r="P41" s="111"/>
    </row>
    <row r="42" spans="8:16" ht="12.75">
      <c r="H42" s="25"/>
      <c r="I42" s="133"/>
      <c r="J42" s="25"/>
      <c r="K42" s="71"/>
      <c r="L42" s="71"/>
      <c r="M42" s="25"/>
      <c r="N42" s="111"/>
      <c r="O42" s="134"/>
      <c r="P42" s="111"/>
    </row>
    <row r="43" spans="1:16" ht="12.75">
      <c r="A43" s="95" t="s">
        <v>49</v>
      </c>
      <c r="O43" s="14"/>
      <c r="P43" s="14"/>
    </row>
    <row r="44" spans="12:20" ht="13.5" thickBot="1">
      <c r="L44"/>
      <c r="M44" s="19" t="s">
        <v>34</v>
      </c>
      <c r="O44" s="14"/>
      <c r="P44" s="14"/>
      <c r="Q44" s="14"/>
      <c r="R44" s="14"/>
      <c r="S44" s="14"/>
      <c r="T44" s="14"/>
    </row>
    <row r="45" spans="3:21" ht="13.5" thickBot="1">
      <c r="C45" s="18" t="s">
        <v>23</v>
      </c>
      <c r="L45"/>
      <c r="M45" s="67" t="s">
        <v>26</v>
      </c>
      <c r="N45" s="68" t="s">
        <v>27</v>
      </c>
      <c r="O45" s="68" t="s">
        <v>28</v>
      </c>
      <c r="P45" s="68" t="s">
        <v>29</v>
      </c>
      <c r="Q45" s="68" t="s">
        <v>30</v>
      </c>
      <c r="R45" s="68" t="s">
        <v>31</v>
      </c>
      <c r="S45" s="68" t="s">
        <v>32</v>
      </c>
      <c r="T45" s="75" t="s">
        <v>33</v>
      </c>
      <c r="U45" s="14"/>
    </row>
    <row r="46" spans="3:20" ht="13.5" thickBot="1">
      <c r="C46" s="24"/>
      <c r="D46" s="67" t="s">
        <v>26</v>
      </c>
      <c r="E46" s="22" t="s">
        <v>27</v>
      </c>
      <c r="F46" s="22" t="s">
        <v>28</v>
      </c>
      <c r="G46" s="22" t="s">
        <v>29</v>
      </c>
      <c r="H46" s="22" t="s">
        <v>30</v>
      </c>
      <c r="I46" s="22" t="s">
        <v>31</v>
      </c>
      <c r="J46" s="22" t="s">
        <v>32</v>
      </c>
      <c r="K46" s="23" t="s">
        <v>33</v>
      </c>
      <c r="L46"/>
      <c r="M46" s="108">
        <v>1</v>
      </c>
      <c r="N46" s="109">
        <v>2</v>
      </c>
      <c r="O46" s="109">
        <v>3</v>
      </c>
      <c r="P46" s="109"/>
      <c r="Q46" s="109"/>
      <c r="R46" s="109"/>
      <c r="S46" s="109"/>
      <c r="T46" s="110"/>
    </row>
    <row r="47" spans="3:20" ht="13.5" thickBot="1">
      <c r="C47" s="26" t="s">
        <v>26</v>
      </c>
      <c r="D47" s="97"/>
      <c r="E47" s="6">
        <v>20</v>
      </c>
      <c r="F47" s="6">
        <v>40</v>
      </c>
      <c r="G47" s="6"/>
      <c r="H47" s="6"/>
      <c r="I47" s="6"/>
      <c r="J47" s="6"/>
      <c r="K47" s="7"/>
      <c r="L47"/>
      <c r="M47"/>
      <c r="N47"/>
      <c r="R47" s="24" t="s">
        <v>35</v>
      </c>
      <c r="S47" s="41">
        <v>10400</v>
      </c>
      <c r="T47" s="42"/>
    </row>
    <row r="48" spans="3:14" ht="13.5" thickBot="1">
      <c r="C48" s="34" t="s">
        <v>27</v>
      </c>
      <c r="D48" s="31"/>
      <c r="E48" s="61"/>
      <c r="F48" s="8">
        <v>30</v>
      </c>
      <c r="G48" s="8"/>
      <c r="H48" s="8"/>
      <c r="I48" s="8"/>
      <c r="J48" s="8"/>
      <c r="K48" s="9"/>
      <c r="L48"/>
      <c r="M48"/>
      <c r="N48"/>
    </row>
    <row r="49" spans="3:14" ht="13.5" thickBot="1">
      <c r="C49" s="34" t="s">
        <v>28</v>
      </c>
      <c r="D49" s="31"/>
      <c r="E49" s="71"/>
      <c r="F49" s="39"/>
      <c r="G49" s="8"/>
      <c r="H49" s="8"/>
      <c r="I49" s="8"/>
      <c r="J49" s="8"/>
      <c r="K49" s="9"/>
      <c r="L49"/>
      <c r="M49"/>
      <c r="N49"/>
    </row>
    <row r="50" spans="3:14" ht="13.5" thickBot="1">
      <c r="C50" s="34" t="s">
        <v>29</v>
      </c>
      <c r="D50" s="31"/>
      <c r="E50" s="29"/>
      <c r="F50" s="29"/>
      <c r="G50" s="39"/>
      <c r="H50" s="8"/>
      <c r="I50" s="8"/>
      <c r="J50" s="8"/>
      <c r="K50" s="9"/>
      <c r="L50"/>
      <c r="M50"/>
      <c r="N50"/>
    </row>
    <row r="51" spans="3:14" ht="13.5" thickBot="1">
      <c r="C51" s="34" t="s">
        <v>30</v>
      </c>
      <c r="D51" s="31"/>
      <c r="E51" s="29"/>
      <c r="F51" s="29"/>
      <c r="G51" s="29"/>
      <c r="H51" s="39"/>
      <c r="I51" s="8"/>
      <c r="J51" s="8"/>
      <c r="K51" s="9"/>
      <c r="L51"/>
      <c r="M51"/>
      <c r="N51"/>
    </row>
    <row r="52" spans="3:14" ht="13.5" thickBot="1">
      <c r="C52" s="34" t="s">
        <v>31</v>
      </c>
      <c r="D52" s="31"/>
      <c r="E52" s="29"/>
      <c r="F52" s="29"/>
      <c r="G52" s="29"/>
      <c r="H52" s="29"/>
      <c r="I52" s="39"/>
      <c r="J52" s="8"/>
      <c r="K52" s="9"/>
      <c r="L52"/>
      <c r="M52"/>
      <c r="N52"/>
    </row>
    <row r="53" spans="3:14" ht="13.5" thickBot="1">
      <c r="C53" s="43" t="s">
        <v>32</v>
      </c>
      <c r="D53" s="96"/>
      <c r="E53" s="47"/>
      <c r="F53" s="47"/>
      <c r="G53" s="47"/>
      <c r="H53" s="47"/>
      <c r="I53" s="47"/>
      <c r="J53" s="44"/>
      <c r="K53" s="11"/>
      <c r="L53"/>
      <c r="M53"/>
      <c r="N53"/>
    </row>
    <row r="54" spans="4:14" ht="12.75">
      <c r="D54" s="25"/>
      <c r="E54" s="25"/>
      <c r="F54" s="25"/>
      <c r="G54" s="25"/>
      <c r="H54" s="25"/>
      <c r="I54" s="25"/>
      <c r="J54" s="25"/>
      <c r="K54" s="25"/>
      <c r="L54"/>
      <c r="M54"/>
      <c r="N54"/>
    </row>
    <row r="55" spans="3:14" ht="13.5" thickBot="1">
      <c r="C55" s="18" t="s">
        <v>24</v>
      </c>
      <c r="L55"/>
      <c r="M55"/>
      <c r="N55"/>
    </row>
    <row r="56" spans="3:14" ht="13.5" thickBot="1">
      <c r="C56" s="24"/>
      <c r="D56" s="49">
        <v>1</v>
      </c>
      <c r="E56" s="22">
        <v>2</v>
      </c>
      <c r="F56" s="22">
        <v>3</v>
      </c>
      <c r="G56" s="22">
        <v>4</v>
      </c>
      <c r="H56" s="22">
        <v>5</v>
      </c>
      <c r="I56" s="22">
        <v>6</v>
      </c>
      <c r="J56" s="22">
        <v>7</v>
      </c>
      <c r="K56" s="23">
        <v>8</v>
      </c>
      <c r="L56"/>
      <c r="M56"/>
      <c r="N56"/>
    </row>
    <row r="57" spans="3:14" ht="13.5" thickBot="1">
      <c r="C57" s="50">
        <v>1</v>
      </c>
      <c r="D57" s="51"/>
      <c r="E57" s="6">
        <v>10</v>
      </c>
      <c r="F57" s="6">
        <v>80</v>
      </c>
      <c r="G57" s="6"/>
      <c r="H57" s="6"/>
      <c r="I57" s="6"/>
      <c r="J57" s="6"/>
      <c r="K57" s="7"/>
      <c r="L57"/>
      <c r="M57"/>
      <c r="N57"/>
    </row>
    <row r="58" spans="3:14" ht="13.5" thickBot="1">
      <c r="C58" s="34">
        <v>2</v>
      </c>
      <c r="D58" s="72">
        <v>20</v>
      </c>
      <c r="E58" s="51"/>
      <c r="F58" s="8">
        <v>30</v>
      </c>
      <c r="G58" s="8"/>
      <c r="H58" s="8"/>
      <c r="I58" s="8"/>
      <c r="J58" s="8"/>
      <c r="K58" s="9"/>
      <c r="L58"/>
      <c r="M58"/>
      <c r="N58"/>
    </row>
    <row r="59" spans="3:14" ht="13.5" thickBot="1">
      <c r="C59" s="34">
        <v>3</v>
      </c>
      <c r="D59" s="72">
        <v>90</v>
      </c>
      <c r="E59" s="8">
        <v>70</v>
      </c>
      <c r="F59" s="51"/>
      <c r="G59" s="8"/>
      <c r="H59" s="8"/>
      <c r="I59" s="8"/>
      <c r="J59" s="8"/>
      <c r="K59" s="9"/>
      <c r="L59"/>
      <c r="M59"/>
      <c r="N59"/>
    </row>
    <row r="60" spans="3:14" ht="13.5" thickBot="1">
      <c r="C60" s="34">
        <v>4</v>
      </c>
      <c r="D60" s="72"/>
      <c r="E60" s="8"/>
      <c r="F60" s="8"/>
      <c r="G60" s="51"/>
      <c r="H60" s="8"/>
      <c r="I60" s="8"/>
      <c r="J60" s="8"/>
      <c r="K60" s="9"/>
      <c r="L60"/>
      <c r="M60"/>
      <c r="N60"/>
    </row>
    <row r="61" spans="3:14" ht="13.5" thickBot="1">
      <c r="C61" s="34">
        <v>5</v>
      </c>
      <c r="D61" s="72"/>
      <c r="E61" s="8"/>
      <c r="F61" s="8"/>
      <c r="G61" s="8"/>
      <c r="H61" s="51"/>
      <c r="I61" s="8"/>
      <c r="J61" s="8"/>
      <c r="K61" s="9"/>
      <c r="L61"/>
      <c r="M61"/>
      <c r="N61"/>
    </row>
    <row r="62" spans="3:14" ht="13.5" thickBot="1">
      <c r="C62" s="34">
        <v>6</v>
      </c>
      <c r="D62" s="72"/>
      <c r="E62" s="8"/>
      <c r="F62" s="8"/>
      <c r="G62" s="8"/>
      <c r="H62" s="8"/>
      <c r="I62" s="51"/>
      <c r="J62" s="8"/>
      <c r="K62" s="9"/>
      <c r="L62"/>
      <c r="M62"/>
      <c r="N62"/>
    </row>
    <row r="63" spans="3:14" ht="13.5" thickBot="1">
      <c r="C63" s="34">
        <v>7</v>
      </c>
      <c r="D63" s="72"/>
      <c r="E63" s="8"/>
      <c r="F63" s="8"/>
      <c r="G63" s="8"/>
      <c r="H63" s="8"/>
      <c r="I63" s="8"/>
      <c r="J63" s="51"/>
      <c r="K63" s="9"/>
      <c r="L63"/>
      <c r="M63"/>
      <c r="N63"/>
    </row>
    <row r="64" spans="3:14" ht="13.5" thickBot="1">
      <c r="C64" s="43">
        <v>8</v>
      </c>
      <c r="D64" s="73"/>
      <c r="E64" s="10"/>
      <c r="F64" s="10"/>
      <c r="G64" s="10"/>
      <c r="H64" s="10"/>
      <c r="I64" s="10"/>
      <c r="J64" s="10"/>
      <c r="K64" s="51"/>
      <c r="L64"/>
      <c r="M64"/>
      <c r="N64"/>
    </row>
  </sheetData>
  <conditionalFormatting sqref="C7:C19 C27:C39">
    <cfRule type="expression" priority="1" dxfId="0" stopIfTrue="1">
      <formula>AB7</formula>
    </cfRule>
  </conditionalFormatting>
  <conditionalFormatting sqref="K18:P18 K38:P38">
    <cfRule type="cellIs" priority="2" dxfId="0" operator="lessThan" stopIfTrue="1">
      <formula>-0.00000001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092"/>
  <sheetViews>
    <sheetView workbookViewId="0" topLeftCell="A1">
      <selection activeCell="A1" sqref="A1"/>
    </sheetView>
  </sheetViews>
  <sheetFormatPr defaultColWidth="9.140625" defaultRowHeight="12.75"/>
  <cols>
    <col min="1" max="1" width="4.140625" style="93" customWidth="1"/>
    <col min="2" max="2" width="1.7109375" style="14" customWidth="1"/>
    <col min="3" max="20" width="5.57421875" style="14" customWidth="1"/>
    <col min="21" max="21" width="5.7109375" style="14" customWidth="1"/>
  </cols>
  <sheetData>
    <row r="1" ht="12.75">
      <c r="A1" s="94" t="s">
        <v>51</v>
      </c>
    </row>
    <row r="3" spans="1:21" ht="12.75">
      <c r="A3" s="95" t="s">
        <v>47</v>
      </c>
      <c r="B3" s="13" t="s">
        <v>42</v>
      </c>
      <c r="C3" s="54"/>
      <c r="D3" s="54"/>
      <c r="E3" s="54"/>
      <c r="F3" s="54"/>
      <c r="G3" s="54"/>
      <c r="Q3"/>
      <c r="R3"/>
      <c r="S3"/>
      <c r="T3"/>
      <c r="U3"/>
    </row>
    <row r="4" spans="2:21" ht="12.75">
      <c r="B4" s="54"/>
      <c r="C4" s="54"/>
      <c r="D4" s="54"/>
      <c r="E4" s="54"/>
      <c r="F4" s="54"/>
      <c r="G4" s="54"/>
      <c r="Q4"/>
      <c r="R4"/>
      <c r="S4"/>
      <c r="T4"/>
      <c r="U4"/>
    </row>
    <row r="5" spans="2:21" ht="13.5" thickBot="1">
      <c r="B5" s="18" t="s">
        <v>0</v>
      </c>
      <c r="Q5"/>
      <c r="R5"/>
      <c r="S5"/>
      <c r="T5"/>
      <c r="U5"/>
    </row>
    <row r="6" spans="3:21" ht="13.5" thickBot="1">
      <c r="C6" s="36" t="s">
        <v>1</v>
      </c>
      <c r="D6" s="55" t="s">
        <v>2</v>
      </c>
      <c r="E6" s="56"/>
      <c r="F6" s="56"/>
      <c r="G6" s="57" t="s">
        <v>3</v>
      </c>
      <c r="I6" s="19" t="s">
        <v>57</v>
      </c>
      <c r="Q6"/>
      <c r="R6"/>
      <c r="S6"/>
      <c r="T6"/>
      <c r="U6"/>
    </row>
    <row r="7" spans="3:21" ht="13.5" thickBot="1">
      <c r="C7" s="36" t="s">
        <v>4</v>
      </c>
      <c r="D7" s="84"/>
      <c r="E7" s="6"/>
      <c r="F7" s="7"/>
      <c r="G7" s="81">
        <v>0.3</v>
      </c>
      <c r="I7" s="147" t="s">
        <v>6</v>
      </c>
      <c r="J7" s="32"/>
      <c r="K7" s="32"/>
      <c r="L7" s="148" t="s">
        <v>55</v>
      </c>
      <c r="M7" s="149">
        <v>1.6</v>
      </c>
      <c r="Q7"/>
      <c r="R7"/>
      <c r="S7"/>
      <c r="T7"/>
      <c r="U7"/>
    </row>
    <row r="8" spans="3:21" ht="12.75">
      <c r="C8" s="58" t="s">
        <v>5</v>
      </c>
      <c r="D8" s="72"/>
      <c r="E8" s="8"/>
      <c r="F8" s="9"/>
      <c r="G8" s="82">
        <v>0.6</v>
      </c>
      <c r="I8"/>
      <c r="J8"/>
      <c r="K8"/>
      <c r="L8"/>
      <c r="M8"/>
      <c r="Q8"/>
      <c r="R8"/>
      <c r="S8"/>
      <c r="T8"/>
      <c r="U8"/>
    </row>
    <row r="9" spans="3:21" ht="12.75">
      <c r="C9" s="58" t="s">
        <v>7</v>
      </c>
      <c r="D9" s="72" t="s">
        <v>4</v>
      </c>
      <c r="E9" s="8"/>
      <c r="F9" s="9"/>
      <c r="G9" s="82">
        <v>0.4</v>
      </c>
      <c r="Q9"/>
      <c r="R9"/>
      <c r="S9"/>
      <c r="T9"/>
      <c r="U9"/>
    </row>
    <row r="10" spans="3:21" ht="13.5" thickBot="1">
      <c r="C10" s="58" t="s">
        <v>8</v>
      </c>
      <c r="D10" s="72" t="s">
        <v>5</v>
      </c>
      <c r="E10" s="8"/>
      <c r="F10" s="9"/>
      <c r="G10" s="82">
        <v>1.2</v>
      </c>
      <c r="I10" s="18" t="s">
        <v>9</v>
      </c>
      <c r="Q10"/>
      <c r="R10"/>
      <c r="S10"/>
      <c r="T10"/>
      <c r="U10"/>
    </row>
    <row r="11" spans="3:21" ht="13.5" thickBot="1">
      <c r="C11" s="58" t="s">
        <v>10</v>
      </c>
      <c r="D11" s="72" t="s">
        <v>7</v>
      </c>
      <c r="E11" s="8"/>
      <c r="F11" s="9"/>
      <c r="G11" s="82">
        <v>0.2</v>
      </c>
      <c r="I11" s="114"/>
      <c r="J11" s="132" t="s">
        <v>54</v>
      </c>
      <c r="K11" s="15">
        <v>1</v>
      </c>
      <c r="L11" s="16">
        <v>2</v>
      </c>
      <c r="M11" s="16">
        <v>3</v>
      </c>
      <c r="N11" s="16">
        <v>4</v>
      </c>
      <c r="O11" s="16">
        <v>5</v>
      </c>
      <c r="P11" s="17">
        <v>6</v>
      </c>
      <c r="Q11"/>
      <c r="R11"/>
      <c r="S11"/>
      <c r="T11"/>
      <c r="U11"/>
    </row>
    <row r="12" spans="3:21" ht="12.75">
      <c r="C12" s="58" t="s">
        <v>11</v>
      </c>
      <c r="D12" s="72" t="s">
        <v>8</v>
      </c>
      <c r="E12" s="8"/>
      <c r="F12" s="9"/>
      <c r="G12" s="82">
        <v>0.6</v>
      </c>
      <c r="I12" s="89"/>
      <c r="J12" s="40"/>
      <c r="K12" s="112" t="s">
        <v>5</v>
      </c>
      <c r="L12" s="86" t="s">
        <v>8</v>
      </c>
      <c r="M12" s="86" t="s">
        <v>11</v>
      </c>
      <c r="N12" s="86"/>
      <c r="O12" s="86"/>
      <c r="P12" s="87"/>
      <c r="Q12"/>
      <c r="R12"/>
      <c r="S12"/>
      <c r="T12"/>
      <c r="U12"/>
    </row>
    <row r="13" spans="3:21" ht="12.75">
      <c r="C13" s="58" t="s">
        <v>12</v>
      </c>
      <c r="D13" s="72" t="s">
        <v>10</v>
      </c>
      <c r="E13" s="8"/>
      <c r="F13" s="9"/>
      <c r="G13" s="82">
        <v>0.1</v>
      </c>
      <c r="I13" s="90"/>
      <c r="J13" s="25"/>
      <c r="K13" s="113" t="s">
        <v>4</v>
      </c>
      <c r="L13" s="12"/>
      <c r="M13" s="12" t="s">
        <v>13</v>
      </c>
      <c r="N13" s="12"/>
      <c r="O13" s="12"/>
      <c r="P13" s="88"/>
      <c r="Q13"/>
      <c r="R13"/>
      <c r="S13"/>
      <c r="T13"/>
      <c r="U13"/>
    </row>
    <row r="14" spans="3:21" ht="12.75">
      <c r="C14" s="58" t="s">
        <v>13</v>
      </c>
      <c r="D14" s="72" t="s">
        <v>11</v>
      </c>
      <c r="E14" s="8" t="s">
        <v>12</v>
      </c>
      <c r="F14" s="9"/>
      <c r="G14" s="82">
        <v>0.5</v>
      </c>
      <c r="I14" s="31"/>
      <c r="J14" s="25"/>
      <c r="K14" s="113" t="s">
        <v>7</v>
      </c>
      <c r="L14" s="12"/>
      <c r="M14" s="12" t="s">
        <v>52</v>
      </c>
      <c r="N14" s="12"/>
      <c r="O14" s="12"/>
      <c r="P14" s="88"/>
      <c r="Q14"/>
      <c r="R14"/>
      <c r="S14"/>
      <c r="T14"/>
      <c r="U14"/>
    </row>
    <row r="15" spans="3:21" ht="12.75">
      <c r="C15" s="58" t="s">
        <v>14</v>
      </c>
      <c r="D15" s="72" t="s">
        <v>13</v>
      </c>
      <c r="E15" s="8"/>
      <c r="F15" s="9"/>
      <c r="G15" s="82">
        <v>0.3</v>
      </c>
      <c r="I15" s="115"/>
      <c r="J15" s="25"/>
      <c r="K15" s="113" t="s">
        <v>10</v>
      </c>
      <c r="L15" s="12"/>
      <c r="M15" s="12"/>
      <c r="N15" s="12"/>
      <c r="O15" s="12"/>
      <c r="P15" s="88"/>
      <c r="Q15"/>
      <c r="R15"/>
      <c r="S15"/>
      <c r="T15"/>
      <c r="U15"/>
    </row>
    <row r="16" spans="3:21" ht="13.5" thickBot="1">
      <c r="C16" s="58" t="s">
        <v>15</v>
      </c>
      <c r="D16" s="72"/>
      <c r="E16" s="8"/>
      <c r="F16" s="9"/>
      <c r="G16" s="82"/>
      <c r="I16" s="96"/>
      <c r="J16" s="38"/>
      <c r="K16" s="150" t="s">
        <v>12</v>
      </c>
      <c r="L16" s="151"/>
      <c r="M16" s="151"/>
      <c r="N16" s="151"/>
      <c r="O16" s="151"/>
      <c r="P16" s="152"/>
      <c r="Q16"/>
      <c r="R16"/>
      <c r="S16"/>
      <c r="T16"/>
      <c r="U16"/>
    </row>
    <row r="17" spans="3:21" ht="12.75">
      <c r="C17" s="58" t="s">
        <v>17</v>
      </c>
      <c r="D17" s="72"/>
      <c r="E17" s="8"/>
      <c r="F17" s="9"/>
      <c r="G17" s="82"/>
      <c r="I17" s="62" t="s">
        <v>16</v>
      </c>
      <c r="K17" s="59">
        <v>1.6</v>
      </c>
      <c r="L17" s="60">
        <v>1.2</v>
      </c>
      <c r="M17" s="60">
        <v>1.4</v>
      </c>
      <c r="N17" s="60">
        <v>0</v>
      </c>
      <c r="O17" s="60">
        <v>0</v>
      </c>
      <c r="P17" s="61">
        <v>0</v>
      </c>
      <c r="Q17"/>
      <c r="R17"/>
      <c r="S17"/>
      <c r="T17"/>
      <c r="U17"/>
    </row>
    <row r="18" spans="3:21" ht="13.5" thickBot="1">
      <c r="C18" s="58" t="s">
        <v>19</v>
      </c>
      <c r="D18" s="72"/>
      <c r="E18" s="8"/>
      <c r="F18" s="9"/>
      <c r="G18" s="82"/>
      <c r="I18" s="62" t="s">
        <v>18</v>
      </c>
      <c r="K18" s="117">
        <v>2.220446049250313E-16</v>
      </c>
      <c r="L18" s="63">
        <v>0.4</v>
      </c>
      <c r="M18" s="63">
        <v>0.2</v>
      </c>
      <c r="N18" s="63" t="s">
        <v>53</v>
      </c>
      <c r="O18" s="63" t="s">
        <v>53</v>
      </c>
      <c r="P18" s="64" t="s">
        <v>53</v>
      </c>
      <c r="Q18"/>
      <c r="R18"/>
      <c r="S18"/>
      <c r="T18"/>
      <c r="U18"/>
    </row>
    <row r="19" spans="3:21" ht="13.5" thickBot="1">
      <c r="C19" s="66" t="s">
        <v>46</v>
      </c>
      <c r="D19" s="73"/>
      <c r="E19" s="10"/>
      <c r="F19" s="11"/>
      <c r="G19" s="83"/>
      <c r="H19" s="85"/>
      <c r="I19" s="65" t="s">
        <v>20</v>
      </c>
      <c r="J19" s="40"/>
      <c r="K19" s="71"/>
      <c r="L19" s="71"/>
      <c r="M19" s="25"/>
      <c r="N19" s="116"/>
      <c r="O19" s="145">
        <v>0.125</v>
      </c>
      <c r="P19" s="116"/>
      <c r="Q19"/>
      <c r="R19"/>
      <c r="S19"/>
      <c r="T19"/>
      <c r="U19"/>
    </row>
    <row r="20" spans="3:21" ht="13.5" thickBot="1">
      <c r="C20" s="67"/>
      <c r="D20" s="68"/>
      <c r="E20" s="68"/>
      <c r="F20" s="69" t="s">
        <v>21</v>
      </c>
      <c r="G20" s="70">
        <v>4.2</v>
      </c>
      <c r="I20" s="37" t="s">
        <v>22</v>
      </c>
      <c r="J20" s="38"/>
      <c r="K20" s="63"/>
      <c r="L20" s="63"/>
      <c r="M20" s="38"/>
      <c r="N20" s="98"/>
      <c r="O20" s="146">
        <v>0.875</v>
      </c>
      <c r="P20" s="98"/>
      <c r="Q20"/>
      <c r="R20"/>
      <c r="S20"/>
      <c r="T20"/>
      <c r="U20"/>
    </row>
    <row r="21" spans="2:21" ht="12.7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2:21" ht="12.7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 ht="12.75">
      <c r="A23" s="95" t="s">
        <v>49</v>
      </c>
      <c r="B23" s="13" t="s">
        <v>43</v>
      </c>
      <c r="L23"/>
      <c r="M23"/>
      <c r="N23"/>
      <c r="O23"/>
      <c r="P23"/>
      <c r="Q23"/>
      <c r="R23"/>
      <c r="S23"/>
      <c r="T23"/>
      <c r="U23"/>
    </row>
    <row r="24" spans="12:21" ht="13.5" thickBot="1">
      <c r="L24"/>
      <c r="M24" s="19" t="s">
        <v>34</v>
      </c>
      <c r="U24"/>
    </row>
    <row r="25" spans="3:20" ht="13.5" thickBot="1">
      <c r="C25" s="18" t="s">
        <v>23</v>
      </c>
      <c r="L25"/>
      <c r="M25" s="67" t="s">
        <v>26</v>
      </c>
      <c r="N25" s="68" t="s">
        <v>27</v>
      </c>
      <c r="O25" s="68" t="s">
        <v>28</v>
      </c>
      <c r="P25" s="68" t="s">
        <v>29</v>
      </c>
      <c r="Q25" s="68" t="s">
        <v>30</v>
      </c>
      <c r="R25" s="68" t="s">
        <v>31</v>
      </c>
      <c r="S25" s="68" t="s">
        <v>32</v>
      </c>
      <c r="T25" s="75" t="s">
        <v>33</v>
      </c>
    </row>
    <row r="26" spans="3:21" ht="13.5" thickBot="1">
      <c r="C26" s="24"/>
      <c r="D26" s="67" t="s">
        <v>26</v>
      </c>
      <c r="E26" s="22" t="s">
        <v>27</v>
      </c>
      <c r="F26" s="22" t="s">
        <v>28</v>
      </c>
      <c r="G26" s="22" t="s">
        <v>29</v>
      </c>
      <c r="H26" s="22" t="s">
        <v>30</v>
      </c>
      <c r="I26" s="22" t="s">
        <v>31</v>
      </c>
      <c r="J26" s="22" t="s">
        <v>32</v>
      </c>
      <c r="K26" s="23" t="s">
        <v>33</v>
      </c>
      <c r="L26"/>
      <c r="M26" s="108">
        <v>6</v>
      </c>
      <c r="N26" s="109">
        <v>2</v>
      </c>
      <c r="O26" s="109">
        <v>5</v>
      </c>
      <c r="P26" s="109">
        <v>3</v>
      </c>
      <c r="Q26" s="109">
        <v>1</v>
      </c>
      <c r="R26" s="109">
        <v>4</v>
      </c>
      <c r="S26" s="109"/>
      <c r="T26" s="110"/>
      <c r="U26"/>
    </row>
    <row r="27" spans="3:21" ht="13.5" thickBot="1">
      <c r="C27" s="26" t="s">
        <v>26</v>
      </c>
      <c r="D27" s="97"/>
      <c r="E27" s="6">
        <v>50</v>
      </c>
      <c r="F27" s="6">
        <v>100</v>
      </c>
      <c r="G27" s="6">
        <v>50</v>
      </c>
      <c r="H27" s="6">
        <v>80</v>
      </c>
      <c r="I27" s="6">
        <v>130</v>
      </c>
      <c r="J27" s="6"/>
      <c r="K27" s="7"/>
      <c r="L27"/>
      <c r="M27"/>
      <c r="N27"/>
      <c r="O27"/>
      <c r="P27"/>
      <c r="Q27"/>
      <c r="R27" s="24" t="s">
        <v>35</v>
      </c>
      <c r="S27" s="41">
        <v>25540</v>
      </c>
      <c r="T27" s="42"/>
      <c r="U27"/>
    </row>
    <row r="28" spans="3:21" ht="13.5" thickBot="1">
      <c r="C28" s="34" t="s">
        <v>27</v>
      </c>
      <c r="D28" s="31"/>
      <c r="E28" s="61"/>
      <c r="F28" s="8">
        <v>50</v>
      </c>
      <c r="G28" s="8">
        <v>90</v>
      </c>
      <c r="H28" s="8">
        <v>40</v>
      </c>
      <c r="I28" s="8">
        <v>70</v>
      </c>
      <c r="J28" s="8"/>
      <c r="K28" s="9"/>
      <c r="L28"/>
      <c r="M28"/>
      <c r="N28"/>
      <c r="O28"/>
      <c r="P28"/>
      <c r="Q28"/>
      <c r="R28"/>
      <c r="S28"/>
      <c r="T28"/>
      <c r="U28"/>
    </row>
    <row r="29" spans="3:21" ht="13.5" thickBot="1">
      <c r="C29" s="34" t="s">
        <v>28</v>
      </c>
      <c r="D29" s="31"/>
      <c r="E29" s="71"/>
      <c r="F29" s="39"/>
      <c r="G29" s="8">
        <v>140</v>
      </c>
      <c r="H29" s="8">
        <v>60</v>
      </c>
      <c r="I29" s="8">
        <v>50</v>
      </c>
      <c r="J29" s="8"/>
      <c r="K29" s="9"/>
      <c r="L29"/>
      <c r="M29" t="s">
        <v>56</v>
      </c>
      <c r="N29"/>
      <c r="O29"/>
      <c r="P29"/>
      <c r="Q29"/>
      <c r="R29"/>
      <c r="S29"/>
      <c r="T29"/>
      <c r="U29"/>
    </row>
    <row r="30" spans="3:21" ht="13.5" thickBot="1">
      <c r="C30" s="34" t="s">
        <v>29</v>
      </c>
      <c r="D30" s="31"/>
      <c r="E30" s="29"/>
      <c r="F30" s="29"/>
      <c r="G30" s="39"/>
      <c r="H30" s="8">
        <v>50</v>
      </c>
      <c r="I30" s="8">
        <v>120</v>
      </c>
      <c r="J30" s="8"/>
      <c r="K30" s="9"/>
      <c r="L30"/>
      <c r="M30"/>
      <c r="N30"/>
      <c r="O30"/>
      <c r="P30"/>
      <c r="Q30"/>
      <c r="R30"/>
      <c r="S30"/>
      <c r="T30"/>
      <c r="U30"/>
    </row>
    <row r="31" spans="3:21" ht="13.5" thickBot="1">
      <c r="C31" s="34" t="s">
        <v>30</v>
      </c>
      <c r="D31" s="31"/>
      <c r="E31" s="29"/>
      <c r="F31" s="29"/>
      <c r="G31" s="29"/>
      <c r="H31" s="39"/>
      <c r="I31" s="8">
        <v>50</v>
      </c>
      <c r="J31" s="8"/>
      <c r="K31" s="9"/>
      <c r="L31"/>
      <c r="M31"/>
      <c r="N31"/>
      <c r="O31"/>
      <c r="P31"/>
      <c r="Q31"/>
      <c r="R31"/>
      <c r="S31"/>
      <c r="T31"/>
      <c r="U31"/>
    </row>
    <row r="32" spans="3:21" ht="13.5" thickBot="1">
      <c r="C32" s="34" t="s">
        <v>31</v>
      </c>
      <c r="D32" s="31"/>
      <c r="E32" s="29"/>
      <c r="F32" s="29"/>
      <c r="G32" s="29"/>
      <c r="H32" s="29"/>
      <c r="I32" s="39"/>
      <c r="J32" s="8"/>
      <c r="K32" s="9"/>
      <c r="L32"/>
      <c r="M32"/>
      <c r="N32"/>
      <c r="O32"/>
      <c r="P32"/>
      <c r="Q32"/>
      <c r="R32"/>
      <c r="S32"/>
      <c r="T32"/>
      <c r="U32"/>
    </row>
    <row r="33" spans="3:21" ht="13.5" thickBot="1">
      <c r="C33" s="43" t="s">
        <v>32</v>
      </c>
      <c r="D33" s="96"/>
      <c r="E33" s="47"/>
      <c r="F33" s="47"/>
      <c r="G33" s="47"/>
      <c r="H33" s="47"/>
      <c r="I33" s="47"/>
      <c r="J33" s="44"/>
      <c r="K33" s="11"/>
      <c r="L33"/>
      <c r="M33"/>
      <c r="N33"/>
      <c r="O33"/>
      <c r="P33"/>
      <c r="Q33"/>
      <c r="R33"/>
      <c r="S33"/>
      <c r="T33"/>
      <c r="U33"/>
    </row>
    <row r="34" spans="4:21" ht="12.75">
      <c r="D34" s="25"/>
      <c r="E34" s="25"/>
      <c r="F34" s="25"/>
      <c r="G34" s="25"/>
      <c r="H34" s="25"/>
      <c r="I34" s="25"/>
      <c r="J34" s="25"/>
      <c r="K34" s="25"/>
      <c r="L34"/>
      <c r="M34"/>
      <c r="N34"/>
      <c r="O34"/>
      <c r="P34"/>
      <c r="Q34"/>
      <c r="R34"/>
      <c r="S34"/>
      <c r="T34"/>
      <c r="U34"/>
    </row>
    <row r="35" spans="3:21" ht="13.5" thickBot="1">
      <c r="C35" s="18" t="s">
        <v>24</v>
      </c>
      <c r="L35"/>
      <c r="M35"/>
      <c r="N35"/>
      <c r="O35"/>
      <c r="P35"/>
      <c r="Q35"/>
      <c r="R35"/>
      <c r="S35"/>
      <c r="T35"/>
      <c r="U35"/>
    </row>
    <row r="36" spans="3:21" ht="13.5" thickBot="1">
      <c r="C36" s="24"/>
      <c r="D36" s="49">
        <v>1</v>
      </c>
      <c r="E36" s="22">
        <v>2</v>
      </c>
      <c r="F36" s="22">
        <v>3</v>
      </c>
      <c r="G36" s="22">
        <v>4</v>
      </c>
      <c r="H36" s="22">
        <v>5</v>
      </c>
      <c r="I36" s="22">
        <v>6</v>
      </c>
      <c r="J36" s="22">
        <v>7</v>
      </c>
      <c r="K36" s="23">
        <v>8</v>
      </c>
      <c r="L36"/>
      <c r="M36"/>
      <c r="N36"/>
      <c r="O36"/>
      <c r="P36"/>
      <c r="Q36"/>
      <c r="R36"/>
      <c r="S36"/>
      <c r="T36"/>
      <c r="U36"/>
    </row>
    <row r="37" spans="3:21" ht="13.5" thickBot="1">
      <c r="C37" s="50">
        <v>1</v>
      </c>
      <c r="D37" s="51"/>
      <c r="E37" s="6">
        <v>90</v>
      </c>
      <c r="F37" s="6">
        <v>25</v>
      </c>
      <c r="G37" s="6">
        <v>23</v>
      </c>
      <c r="H37" s="6">
        <v>11</v>
      </c>
      <c r="I37" s="6">
        <v>18</v>
      </c>
      <c r="J37" s="6"/>
      <c r="K37" s="7"/>
      <c r="L37"/>
      <c r="M37"/>
      <c r="N37"/>
      <c r="O37"/>
      <c r="P37"/>
      <c r="Q37"/>
      <c r="R37"/>
      <c r="S37"/>
      <c r="T37"/>
      <c r="U37"/>
    </row>
    <row r="38" spans="3:21" ht="13.5" thickBot="1">
      <c r="C38" s="34">
        <v>2</v>
      </c>
      <c r="D38" s="72">
        <v>35</v>
      </c>
      <c r="E38" s="51"/>
      <c r="F38" s="8">
        <v>8</v>
      </c>
      <c r="G38" s="8">
        <v>5</v>
      </c>
      <c r="H38" s="8">
        <v>10</v>
      </c>
      <c r="I38" s="8">
        <v>16</v>
      </c>
      <c r="J38" s="8"/>
      <c r="K38" s="9"/>
      <c r="L38"/>
      <c r="M38"/>
      <c r="N38"/>
      <c r="O38"/>
      <c r="P38"/>
      <c r="Q38"/>
      <c r="R38"/>
      <c r="S38"/>
      <c r="T38"/>
      <c r="U38"/>
    </row>
    <row r="39" spans="3:21" ht="13.5" thickBot="1">
      <c r="C39" s="34">
        <v>3</v>
      </c>
      <c r="D39" s="72">
        <v>37</v>
      </c>
      <c r="E39" s="8">
        <v>2</v>
      </c>
      <c r="F39" s="51"/>
      <c r="G39" s="8">
        <v>1</v>
      </c>
      <c r="H39" s="8">
        <v>0</v>
      </c>
      <c r="I39" s="8">
        <v>7</v>
      </c>
      <c r="J39" s="8"/>
      <c r="K39" s="9"/>
      <c r="L39"/>
      <c r="M39"/>
      <c r="N39"/>
      <c r="O39"/>
      <c r="P39"/>
      <c r="Q39"/>
      <c r="R39"/>
      <c r="S39"/>
      <c r="T39"/>
      <c r="U39"/>
    </row>
    <row r="40" spans="3:21" ht="13.5" thickBot="1">
      <c r="C40" s="34">
        <v>4</v>
      </c>
      <c r="D40" s="72">
        <v>41</v>
      </c>
      <c r="E40" s="8">
        <v>12</v>
      </c>
      <c r="F40" s="8">
        <v>1</v>
      </c>
      <c r="G40" s="51"/>
      <c r="H40" s="8">
        <v>4</v>
      </c>
      <c r="I40" s="8">
        <v>0</v>
      </c>
      <c r="J40" s="8"/>
      <c r="K40" s="9"/>
      <c r="L40"/>
      <c r="M40"/>
      <c r="N40"/>
      <c r="O40"/>
      <c r="P40"/>
      <c r="Q40"/>
      <c r="R40"/>
      <c r="S40"/>
      <c r="T40"/>
      <c r="U40"/>
    </row>
    <row r="41" spans="3:21" ht="13.5" thickBot="1">
      <c r="C41" s="34">
        <v>5</v>
      </c>
      <c r="D41" s="72">
        <v>14</v>
      </c>
      <c r="E41" s="8">
        <v>16</v>
      </c>
      <c r="F41" s="8">
        <v>0</v>
      </c>
      <c r="G41" s="8">
        <v>9</v>
      </c>
      <c r="H41" s="51"/>
      <c r="I41" s="8">
        <v>3</v>
      </c>
      <c r="J41" s="8"/>
      <c r="K41" s="9"/>
      <c r="L41"/>
      <c r="M41"/>
      <c r="N41"/>
      <c r="O41"/>
      <c r="P41"/>
      <c r="Q41"/>
      <c r="R41"/>
      <c r="S41"/>
      <c r="T41"/>
      <c r="U41"/>
    </row>
    <row r="42" spans="3:21" ht="13.5" thickBot="1">
      <c r="C42" s="34">
        <v>6</v>
      </c>
      <c r="D42" s="72">
        <v>32</v>
      </c>
      <c r="E42" s="8">
        <v>38</v>
      </c>
      <c r="F42" s="8">
        <v>13</v>
      </c>
      <c r="G42" s="8">
        <v>2</v>
      </c>
      <c r="H42" s="8">
        <v>2</v>
      </c>
      <c r="I42" s="51"/>
      <c r="J42" s="8"/>
      <c r="K42" s="9"/>
      <c r="L42"/>
      <c r="M42"/>
      <c r="N42"/>
      <c r="O42"/>
      <c r="P42"/>
      <c r="Q42"/>
      <c r="R42"/>
      <c r="S42"/>
      <c r="T42"/>
      <c r="U42"/>
    </row>
    <row r="43" spans="3:21" ht="13.5" thickBot="1">
      <c r="C43" s="34">
        <v>7</v>
      </c>
      <c r="D43" s="72"/>
      <c r="E43" s="8"/>
      <c r="F43" s="8"/>
      <c r="G43" s="8"/>
      <c r="H43" s="8"/>
      <c r="I43" s="8"/>
      <c r="J43" s="51"/>
      <c r="K43" s="9"/>
      <c r="L43"/>
      <c r="M43"/>
      <c r="N43"/>
      <c r="O43"/>
      <c r="P43"/>
      <c r="Q43"/>
      <c r="R43"/>
      <c r="S43"/>
      <c r="T43"/>
      <c r="U43"/>
    </row>
    <row r="44" spans="3:21" ht="13.5" thickBot="1">
      <c r="C44" s="43">
        <v>8</v>
      </c>
      <c r="D44" s="73"/>
      <c r="E44" s="10"/>
      <c r="F44" s="10"/>
      <c r="G44" s="10"/>
      <c r="H44" s="10"/>
      <c r="I44" s="10"/>
      <c r="J44" s="10"/>
      <c r="K44" s="51"/>
      <c r="L44"/>
      <c r="M44"/>
      <c r="N44"/>
      <c r="O44"/>
      <c r="P44"/>
      <c r="Q44"/>
      <c r="R44"/>
      <c r="S44"/>
      <c r="T44"/>
      <c r="U44"/>
    </row>
    <row r="45" spans="2:21" ht="12.7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2:21" ht="12.7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2:21" ht="12.7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2:21" ht="12.7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2:21" ht="12.7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2:21" ht="12.7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2:21" ht="12.7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2:21" ht="12.7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2:21" ht="12.7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2:21" ht="12.7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2:21" ht="12.7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2:21" ht="12.7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2:21" ht="12.7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2:21" ht="12.7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2:21" ht="12.7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2:21" ht="12.7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2:21" ht="12.7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2:21" ht="12.7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2:21" ht="12.7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2:21" ht="12.7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2:21" ht="12.7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2:21" ht="12.7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2:21" ht="12.7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2:21" ht="12.7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2:21" ht="12.7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2:21" ht="12.7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2:21" ht="12.7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2:21" ht="12.7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2:21" ht="12.7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2:21" ht="12.7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2:21" ht="12.7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2:21" ht="12.7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2:21" ht="12.7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2:21" ht="12.7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2:21" ht="12.7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2:21" ht="12.7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2:21" ht="12.7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2:21" ht="12.7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2:21" ht="12.7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2:21" ht="12.7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2:21" ht="12.7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2:21" ht="12.7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2:21" ht="12.7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2:21" ht="12.7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2:21" ht="12.7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2:21" ht="12.7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2:21" ht="12.7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2:21" ht="12.7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2:21" ht="12.7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2:21" ht="12.7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2:21" ht="12.7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2:21" ht="12.7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2:21" ht="12.7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2:21" ht="12.7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2:21" ht="12.7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2:21" ht="12.7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2:21" ht="12.7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2:21" ht="12.7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2:21" ht="12.7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2:21" ht="12.7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2:21" ht="12.7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2:21" ht="12.7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2:21" ht="12.7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2:21" ht="12.7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2:21" ht="12.7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2:21" ht="12.7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2:21" ht="12.7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2:21" ht="12.7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2:21" ht="12.7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2:21" ht="12.7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2:21" ht="12.7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2:21" ht="12.7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2:21" ht="12.7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2:21" ht="12.7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2:21" ht="12.7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2:21" ht="12.7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2:21" ht="12.7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2:21" ht="12.7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2:21" ht="12.7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2:21" ht="12.7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2:21" ht="12.7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2:21" ht="12.7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2:21" ht="12.7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2:21" ht="12.7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2:21" ht="12.7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2:21" ht="12.7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2:21" ht="12.7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2:21" ht="12.7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2:21" ht="12.7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2:21" ht="12.7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2:21" ht="12.7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2:21" ht="12.7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2:21" ht="12.7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2:21" ht="12.7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2:21" ht="12.7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2:21" ht="12.7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2:21" ht="12.7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2:21" ht="12.75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2:21" ht="12.75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2:21" ht="12.75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2:21" ht="12.75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2:21" ht="12.75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2:21" ht="12.75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2:21" ht="12.75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2:21" ht="12.75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2:21" ht="12.75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2:21" ht="12.7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2:21" ht="12.7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2:21" ht="12.7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2:21" ht="12.7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2:21" ht="12.7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2:21" ht="12.7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2:21" ht="12.7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2:21" ht="12.7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2:21" ht="12.7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2:21" ht="12.7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2:21" ht="12.7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2:21" ht="12.7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2:21" ht="12.7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2:21" ht="12.7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2:21" ht="12.7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2:21" ht="12.7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2:21" ht="12.7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2:21" ht="12.7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2:21" ht="12.7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2:21" ht="12.7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2:21" ht="12.7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2:21" ht="12.7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2:21" ht="12.7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2:21" ht="12.7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2:21" ht="12.7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2:21" ht="12.7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2:21" ht="12.7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2:21" ht="12.7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2:21" ht="12.7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2:21" ht="12.7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2:21" ht="12.7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2:21" ht="12.7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2:21" ht="12.7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2:21" ht="12.7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2:21" ht="12.7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2:21" ht="12.7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2:21" ht="12.7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2:21" ht="12.7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2:21" ht="12.7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2:21" ht="12.7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  <row r="191" spans="2:21" ht="12.7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</row>
    <row r="192" spans="2:21" ht="12.7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</row>
    <row r="193" spans="2:21" ht="12.7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</row>
    <row r="194" spans="2:21" ht="12.7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</row>
    <row r="195" spans="2:21" ht="12.7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</row>
    <row r="196" spans="2:21" ht="12.7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</row>
    <row r="197" spans="2:21" ht="12.7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</row>
    <row r="198" spans="2:21" ht="12.7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</row>
    <row r="199" spans="2:21" ht="12.7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</row>
    <row r="200" spans="2:21" ht="12.7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</row>
    <row r="201" spans="2:21" ht="12.7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</row>
    <row r="202" spans="2:21" ht="12.7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</row>
    <row r="203" spans="2:21" ht="12.7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</row>
    <row r="204" spans="2:21" ht="12.7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</row>
    <row r="205" spans="2:21" ht="12.7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</row>
    <row r="206" spans="2:21" ht="12.7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</row>
    <row r="207" spans="2:21" ht="12.7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</row>
    <row r="208" spans="2:21" ht="12.7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</row>
    <row r="209" spans="2:21" ht="12.7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</row>
    <row r="210" spans="2:21" ht="12.7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</row>
    <row r="211" spans="2:21" ht="12.7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</row>
    <row r="212" spans="2:21" ht="12.7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</row>
    <row r="213" spans="2:21" ht="12.7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</row>
    <row r="214" spans="2:21" ht="12.7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</row>
    <row r="215" spans="2:21" ht="12.7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</row>
    <row r="216" spans="2:21" ht="12.7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</row>
    <row r="217" spans="2:21" ht="12.7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</row>
    <row r="218" spans="2:21" ht="12.7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</row>
    <row r="219" spans="2:21" ht="12.7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</row>
    <row r="220" spans="2:21" ht="12.7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</row>
    <row r="221" spans="2:21" ht="12.7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</row>
    <row r="222" spans="2:21" ht="12.7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</row>
    <row r="223" spans="2:21" ht="12.7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</row>
    <row r="224" spans="2:21" ht="12.7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</row>
    <row r="225" spans="2:21" ht="12.7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</row>
    <row r="226" spans="2:21" ht="12.7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</row>
    <row r="227" spans="2:21" ht="12.7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</row>
    <row r="228" spans="2:21" ht="12.7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</row>
    <row r="229" spans="2:21" ht="12.7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</row>
    <row r="230" spans="2:21" ht="12.7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</row>
    <row r="231" spans="2:21" ht="12.7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</row>
    <row r="232" spans="2:21" ht="12.7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</row>
    <row r="233" spans="2:21" ht="12.7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</row>
    <row r="234" spans="2:21" ht="12.7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</row>
    <row r="235" spans="2:21" ht="12.7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</row>
    <row r="236" spans="2:21" ht="12.75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</row>
    <row r="237" spans="2:21" ht="12.7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</row>
    <row r="238" spans="2:21" ht="12.7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</row>
    <row r="239" spans="2:21" ht="12.7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</row>
    <row r="240" spans="2:21" ht="12.7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</row>
    <row r="241" spans="2:21" ht="12.7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</row>
    <row r="242" spans="2:21" ht="12.7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</row>
    <row r="243" spans="2:21" ht="12.7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</row>
    <row r="244" spans="2:21" ht="12.7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</row>
    <row r="245" spans="2:21" ht="12.7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</row>
    <row r="246" spans="2:21" ht="12.7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</row>
    <row r="247" spans="2:21" ht="12.7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</row>
    <row r="248" spans="2:21" ht="12.7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</row>
    <row r="249" spans="2:21" ht="12.7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</row>
    <row r="250" spans="2:21" ht="12.7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</row>
    <row r="251" spans="2:21" ht="12.7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</row>
    <row r="252" spans="2:21" ht="12.7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</row>
    <row r="253" spans="2:21" ht="12.7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</row>
    <row r="254" spans="2:21" ht="12.7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</row>
    <row r="255" spans="2:21" ht="12.7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</row>
    <row r="256" spans="2:21" ht="12.7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</row>
    <row r="257" spans="2:21" ht="12.7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</row>
    <row r="258" spans="2:21" ht="12.7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</row>
    <row r="259" spans="2:21" ht="12.7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</row>
    <row r="260" spans="2:21" ht="12.7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</row>
    <row r="261" spans="2:21" ht="12.7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</row>
    <row r="262" spans="2:21" ht="12.7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</row>
    <row r="263" spans="2:21" ht="12.7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</row>
    <row r="264" spans="2:21" ht="12.7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</row>
    <row r="265" spans="2:21" ht="12.7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</row>
    <row r="266" spans="2:21" ht="12.7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</row>
    <row r="267" spans="2:21" ht="12.7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</row>
    <row r="268" spans="2:21" ht="12.7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</row>
    <row r="269" spans="2:21" ht="12.7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</row>
    <row r="270" spans="2:21" ht="12.7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</row>
    <row r="271" spans="2:21" ht="12.7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</row>
    <row r="272" spans="2:21" ht="12.7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</row>
    <row r="273" spans="2:21" ht="12.7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</row>
    <row r="274" spans="2:21" ht="12.7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</row>
    <row r="275" spans="2:21" ht="12.7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</row>
    <row r="276" spans="2:21" ht="12.7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</row>
    <row r="277" spans="2:21" ht="12.7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</row>
    <row r="278" spans="2:21" ht="12.7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</row>
    <row r="279" spans="2:21" ht="12.7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</row>
    <row r="280" spans="2:21" ht="12.7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</row>
    <row r="281" spans="2:21" ht="12.7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</row>
    <row r="282" spans="2:21" ht="12.7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</row>
    <row r="283" spans="2:21" ht="12.7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</row>
    <row r="284" spans="2:21" ht="12.7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</row>
    <row r="285" spans="2:21" ht="12.7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</row>
    <row r="286" spans="2:21" ht="12.7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</row>
    <row r="287" spans="2:21" ht="12.7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</row>
    <row r="288" spans="2:21" ht="12.7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</row>
    <row r="289" spans="2:21" ht="12.7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</row>
    <row r="290" spans="2:21" ht="12.7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</row>
    <row r="291" spans="2:21" ht="12.7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</row>
    <row r="292" spans="2:21" ht="12.7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</row>
    <row r="293" spans="2:21" ht="12.7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</row>
    <row r="294" spans="2:21" ht="12.7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</row>
    <row r="295" spans="2:21" ht="12.7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</row>
    <row r="296" spans="2:21" ht="12.7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</row>
    <row r="297" spans="2:21" ht="12.7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</row>
    <row r="298" spans="2:21" ht="12.7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</row>
    <row r="299" spans="2:21" ht="12.7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</row>
    <row r="300" spans="2:21" ht="12.7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</row>
    <row r="301" spans="2:21" ht="12.7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</row>
    <row r="302" spans="2:21" ht="12.7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</row>
    <row r="303" spans="2:21" ht="12.7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</row>
    <row r="304" spans="2:21" ht="12.7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</row>
    <row r="305" spans="2:21" ht="12.7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</row>
    <row r="306" spans="2:21" ht="12.7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</row>
    <row r="307" spans="2:21" ht="12.7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</row>
    <row r="308" spans="2:21" ht="12.7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</row>
    <row r="309" spans="2:21" ht="12.7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</row>
    <row r="310" spans="2:21" ht="12.7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</row>
    <row r="311" spans="2:21" ht="12.7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</row>
    <row r="312" spans="2:21" ht="12.7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</row>
    <row r="313" spans="2:21" ht="12.7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</row>
    <row r="314" spans="2:21" ht="12.7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</row>
    <row r="315" spans="2:21" ht="12.7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</row>
    <row r="316" spans="2:21" ht="12.7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</row>
    <row r="317" spans="2:21" ht="12.7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</row>
    <row r="318" spans="2:21" ht="12.7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</row>
    <row r="319" spans="2:21" ht="12.7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</row>
    <row r="320" spans="2:21" ht="12.7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</row>
    <row r="321" spans="2:21" ht="12.7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</row>
    <row r="322" spans="2:21" ht="12.7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</row>
    <row r="323" spans="2:21" ht="12.7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</row>
    <row r="324" spans="2:21" ht="12.7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</row>
    <row r="325" spans="2:21" ht="12.7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</row>
    <row r="326" spans="2:21" ht="12.7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</row>
    <row r="327" spans="2:21" ht="12.7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</row>
    <row r="328" spans="2:21" ht="12.7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</row>
    <row r="329" spans="2:21" ht="12.7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</row>
    <row r="330" spans="2:21" ht="12.7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</row>
    <row r="331" spans="2:21" ht="12.7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</row>
    <row r="332" spans="2:21" ht="12.7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</row>
    <row r="333" spans="2:21" ht="12.7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</row>
    <row r="334" spans="2:21" ht="12.7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</row>
    <row r="335" spans="2:21" ht="12.7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</row>
    <row r="336" spans="2:21" ht="12.7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</row>
    <row r="337" spans="2:21" ht="12.7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</row>
    <row r="338" spans="2:21" ht="12.7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</row>
    <row r="339" spans="2:21" ht="12.7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</row>
    <row r="340" spans="2:21" ht="12.7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</row>
    <row r="341" spans="2:21" ht="12.75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</row>
    <row r="342" spans="2:21" ht="12.75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</row>
    <row r="343" spans="2:21" ht="12.75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</row>
    <row r="344" spans="2:21" ht="12.75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</row>
    <row r="345" spans="2:21" ht="12.75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</row>
    <row r="346" spans="2:21" ht="12.75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</row>
    <row r="347" spans="2:21" ht="12.75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</row>
    <row r="348" spans="2:21" ht="12.75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</row>
    <row r="349" spans="2:21" ht="12.75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</row>
    <row r="350" spans="2:21" ht="12.75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</row>
    <row r="351" spans="2:21" ht="12.75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</row>
    <row r="352" spans="2:21" ht="12.75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</row>
    <row r="353" spans="2:21" ht="12.75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</row>
    <row r="354" spans="2:21" ht="12.75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</row>
    <row r="355" spans="2:21" ht="12.75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</row>
    <row r="356" spans="2:21" ht="12.75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</row>
    <row r="357" spans="2:21" ht="12.75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</row>
    <row r="358" spans="2:21" ht="12.75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</row>
    <row r="359" spans="2:21" ht="12.75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</row>
    <row r="360" spans="2:21" ht="12.75"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</row>
    <row r="361" spans="2:21" ht="12.75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</row>
    <row r="362" spans="2:21" ht="12.75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</row>
    <row r="363" spans="2:21" ht="12.75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</row>
    <row r="364" spans="2:21" ht="12.7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</row>
    <row r="365" spans="2:21" ht="12.75"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</row>
    <row r="366" spans="2:21" ht="12.75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</row>
    <row r="367" spans="2:21" ht="12.75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</row>
    <row r="368" spans="2:21" ht="12.75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</row>
    <row r="369" spans="2:21" ht="12.75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</row>
    <row r="370" spans="2:21" ht="12.75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</row>
    <row r="371" spans="2:21" ht="12.75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</row>
    <row r="372" spans="2:21" ht="12.75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</row>
    <row r="373" spans="2:21" ht="12.75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</row>
    <row r="374" spans="2:21" ht="12.75"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</row>
    <row r="375" spans="2:21" ht="12.75"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</row>
    <row r="376" spans="2:21" ht="12.75"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</row>
    <row r="377" spans="2:21" ht="12.75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</row>
    <row r="378" spans="2:21" ht="12.75"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</row>
    <row r="379" spans="2:21" ht="12.75"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</row>
    <row r="380" spans="2:21" ht="12.75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</row>
    <row r="381" spans="2:21" ht="12.75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</row>
    <row r="382" spans="2:21" ht="12.75"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</row>
    <row r="383" spans="2:21" ht="12.75"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</row>
    <row r="384" spans="2:21" ht="12.75"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</row>
    <row r="385" spans="2:21" ht="12.75"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</row>
    <row r="386" spans="2:21" ht="12.75"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</row>
    <row r="387" spans="2:21" ht="12.75"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</row>
    <row r="388" spans="2:21" ht="12.75"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</row>
    <row r="389" spans="2:21" ht="12.75"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</row>
    <row r="390" spans="2:21" ht="12.75"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</row>
    <row r="391" spans="2:21" ht="12.75"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</row>
    <row r="392" spans="2:21" ht="12.75"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</row>
    <row r="393" spans="2:21" ht="12.75"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</row>
    <row r="394" spans="2:21" ht="12.75"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</row>
    <row r="395" spans="2:21" ht="12.75"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</row>
    <row r="396" spans="2:21" ht="12.75"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</row>
    <row r="397" spans="2:21" ht="12.75"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</row>
    <row r="398" spans="2:21" ht="12.75"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</row>
    <row r="399" spans="2:21" ht="12.75"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</row>
    <row r="400" spans="2:21" ht="12.75"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</row>
    <row r="401" spans="2:21" ht="12.75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</row>
    <row r="402" spans="2:21" ht="12.75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</row>
    <row r="403" spans="2:21" ht="12.75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</row>
    <row r="404" spans="2:21" ht="12.75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</row>
    <row r="405" spans="2:21" ht="12.75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</row>
    <row r="406" spans="2:21" ht="12.75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</row>
    <row r="407" spans="2:21" ht="12.75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</row>
    <row r="408" spans="2:21" ht="12.75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</row>
    <row r="409" spans="2:21" ht="12.75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</row>
    <row r="410" spans="2:21" ht="12.7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</row>
    <row r="411" spans="2:21" ht="12.7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</row>
    <row r="412" spans="2:21" ht="12.7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</row>
    <row r="413" spans="2:21" ht="12.7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</row>
    <row r="414" spans="2:21" ht="12.7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</row>
    <row r="415" spans="2:21" ht="12.7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</row>
    <row r="416" spans="2:21" ht="12.7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</row>
    <row r="417" spans="2:21" ht="12.7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</row>
    <row r="418" spans="2:21" ht="12.7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</row>
    <row r="419" spans="2:21" ht="12.7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</row>
    <row r="420" spans="2:21" ht="12.7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</row>
    <row r="421" spans="2:21" ht="12.7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</row>
    <row r="422" spans="2:21" ht="12.7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</row>
    <row r="423" spans="2:21" ht="12.7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</row>
    <row r="424" spans="2:21" ht="12.7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</row>
    <row r="425" spans="2:21" ht="12.7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</row>
    <row r="426" spans="2:21" ht="12.7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</row>
    <row r="427" spans="2:21" ht="12.7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</row>
    <row r="428" spans="2:21" ht="12.7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</row>
    <row r="429" spans="2:21" ht="12.7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</row>
    <row r="430" spans="2:21" ht="12.7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</row>
    <row r="431" spans="2:21" ht="12.7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</row>
    <row r="432" spans="2:21" ht="12.7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</row>
    <row r="433" spans="2:21" ht="12.7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2:21" ht="12.7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</row>
    <row r="435" spans="2:21" ht="12.7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</row>
    <row r="436" spans="2:21" ht="12.7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</row>
    <row r="437" spans="2:21" ht="12.7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</row>
    <row r="438" spans="2:21" ht="12.7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</row>
    <row r="439" spans="2:21" ht="12.7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</row>
    <row r="440" spans="2:21" ht="12.7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</row>
    <row r="441" spans="2:21" ht="12.7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</row>
    <row r="442" spans="2:21" ht="12.7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</row>
    <row r="443" spans="2:21" ht="12.7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</row>
    <row r="444" spans="2:21" ht="12.7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</row>
    <row r="445" spans="2:21" ht="12.7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</row>
    <row r="446" spans="2:21" ht="12.7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</row>
    <row r="447" spans="2:21" ht="12.7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</row>
    <row r="448" spans="2:21" ht="12.7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</row>
    <row r="449" spans="2:21" ht="12.7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</row>
    <row r="450" spans="2:21" ht="12.7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</row>
    <row r="451" spans="2:21" ht="12.7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</row>
    <row r="452" spans="2:21" ht="12.75"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</row>
    <row r="453" spans="2:21" ht="12.75"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</row>
    <row r="454" spans="2:21" ht="12.75"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</row>
    <row r="455" spans="2:21" ht="12.75"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</row>
    <row r="456" spans="2:21" ht="12.75"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</row>
    <row r="457" spans="2:21" ht="12.75"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</row>
    <row r="458" spans="2:21" ht="12.75"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</row>
    <row r="459" spans="2:21" ht="12.75"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</row>
    <row r="460" spans="2:21" ht="12.75"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</row>
    <row r="461" spans="2:21" ht="12.75"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</row>
    <row r="462" spans="2:21" ht="12.75"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</row>
    <row r="463" spans="2:21" ht="12.75"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</row>
    <row r="464" spans="2:21" ht="12.75"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</row>
    <row r="465" spans="2:21" ht="12.75"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</row>
    <row r="466" spans="2:21" ht="12.75"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</row>
    <row r="467" spans="2:21" ht="12.75"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</row>
    <row r="468" spans="2:21" ht="12.75"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</row>
    <row r="469" spans="2:21" ht="12.75"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</row>
    <row r="470" spans="2:21" ht="12.75"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</row>
    <row r="471" spans="2:21" ht="12.75"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</row>
    <row r="472" spans="2:21" ht="12.75"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</row>
    <row r="473" spans="2:21" ht="12.75"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</row>
    <row r="474" spans="2:21" ht="12.75"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</row>
    <row r="475" spans="2:21" ht="12.75"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</row>
    <row r="476" spans="2:21" ht="12.75"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</row>
    <row r="477" spans="2:21" ht="12.75"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</row>
    <row r="478" spans="2:21" ht="12.75"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</row>
    <row r="479" spans="2:21" ht="12.75"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</row>
    <row r="480" spans="2:21" ht="12.75"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</row>
    <row r="481" spans="2:21" ht="12.75"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</row>
    <row r="482" spans="2:21" ht="12.75"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</row>
    <row r="483" spans="2:21" ht="12.75"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</row>
    <row r="484" spans="2:21" ht="12.75"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</row>
    <row r="485" spans="2:21" ht="12.75"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</row>
    <row r="486" spans="2:21" ht="12.75"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</row>
    <row r="487" spans="2:21" ht="12.75"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</row>
    <row r="488" spans="2:21" ht="12.75"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</row>
    <row r="489" spans="2:21" ht="12.75"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</row>
    <row r="490" spans="2:21" ht="12.75"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</row>
    <row r="491" spans="2:21" ht="12.75"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</row>
    <row r="492" spans="2:21" ht="12.75"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</row>
    <row r="493" spans="2:21" ht="12.75"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</row>
    <row r="494" spans="2:21" ht="12.75"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</row>
    <row r="495" spans="2:21" ht="12.75"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</row>
    <row r="496" spans="2:21" ht="12.75"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</row>
    <row r="497" spans="2:21" ht="12.75"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</row>
    <row r="498" spans="2:21" ht="12.75"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</row>
    <row r="499" spans="2:21" ht="12.75"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</row>
    <row r="500" spans="2:21" ht="12.75"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</row>
    <row r="501" spans="2:21" ht="12.75"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</row>
    <row r="502" spans="2:21" ht="12.75"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</row>
    <row r="503" spans="2:21" ht="12.75"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</row>
    <row r="504" spans="2:21" ht="12.75"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</row>
    <row r="505" spans="2:21" ht="12.75"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</row>
    <row r="506" spans="2:21" ht="12.75"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</row>
    <row r="507" spans="2:21" ht="12.75"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</row>
    <row r="508" spans="2:21" ht="12.75"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</row>
    <row r="509" spans="2:21" ht="12.75"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</row>
    <row r="510" spans="2:21" ht="12.75"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</row>
    <row r="511" spans="2:21" ht="12.75"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</row>
    <row r="512" spans="2:21" ht="12.75"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</row>
    <row r="513" spans="2:21" ht="12.75"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</row>
    <row r="514" spans="2:21" ht="12.75"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</row>
    <row r="515" spans="2:21" ht="12.75"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</row>
    <row r="516" spans="2:21" ht="12.75"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</row>
    <row r="517" spans="2:21" ht="12.75"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</row>
    <row r="518" spans="2:21" ht="12.75"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</row>
    <row r="519" spans="2:21" ht="12.75"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</row>
    <row r="520" spans="2:21" ht="12.75"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</row>
    <row r="521" spans="2:21" ht="12.75"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</row>
    <row r="522" spans="2:21" ht="12.75"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</row>
    <row r="523" spans="2:21" ht="12.75"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</row>
    <row r="524" spans="2:21" ht="12.75"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</row>
    <row r="525" spans="2:21" ht="12.75"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</row>
    <row r="526" spans="2:21" ht="12.75"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</row>
    <row r="527" spans="2:21" ht="12.75"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</row>
    <row r="528" spans="2:21" ht="12.75"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</row>
    <row r="529" spans="2:21" ht="12.75"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</row>
    <row r="530" spans="2:21" ht="12.75"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</row>
    <row r="531" spans="2:21" ht="12.75"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</row>
    <row r="532" spans="2:21" ht="12.75"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</row>
    <row r="533" spans="2:21" ht="12.75"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</row>
    <row r="534" spans="2:21" ht="12.75"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</row>
    <row r="535" spans="2:21" ht="12.75"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</row>
    <row r="536" spans="2:21" ht="12.75"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</row>
    <row r="537" spans="2:21" ht="12.75"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</row>
    <row r="538" spans="2:21" ht="12.75"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</row>
    <row r="539" spans="2:21" ht="12.75"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</row>
    <row r="540" spans="2:21" ht="12.75"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</row>
    <row r="541" spans="2:21" ht="12.75"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</row>
    <row r="542" spans="2:21" ht="12.75"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</row>
    <row r="543" spans="2:21" ht="12.75"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</row>
    <row r="544" spans="2:21" ht="12.75"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</row>
    <row r="545" spans="2:21" ht="12.75"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</row>
    <row r="546" spans="2:21" ht="12.75"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</row>
    <row r="547" spans="2:21" ht="12.75"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</row>
    <row r="548" spans="2:21" ht="12.75"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</row>
    <row r="549" spans="2:21" ht="12.75"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</row>
    <row r="550" spans="2:21" ht="12.75"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</row>
    <row r="551" spans="2:21" ht="12.75"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</row>
    <row r="552" spans="2:21" ht="12.75"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</row>
    <row r="553" spans="2:21" ht="12.75"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</row>
    <row r="554" spans="2:21" ht="12.75"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</row>
    <row r="555" spans="2:21" ht="12.75"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</row>
    <row r="556" spans="2:21" ht="12.75"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</row>
    <row r="557" spans="2:21" ht="12.75"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</row>
    <row r="558" spans="2:21" ht="12.75"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</row>
    <row r="559" spans="2:21" ht="12.75"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</row>
    <row r="560" spans="2:21" ht="12.75"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</row>
    <row r="561" spans="2:21" ht="12.75"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</row>
    <row r="562" spans="2:21" ht="12.75"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</row>
    <row r="563" spans="2:21" ht="12.75"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</row>
    <row r="564" spans="2:21" ht="12.75"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</row>
    <row r="565" spans="2:21" ht="12.75"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</row>
    <row r="566" spans="2:21" ht="12.75"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</row>
    <row r="567" spans="2:21" ht="12.75"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</row>
    <row r="568" spans="2:21" ht="12.75"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</row>
    <row r="569" spans="2:21" ht="12.75"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</row>
    <row r="570" spans="2:21" ht="12.75"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</row>
    <row r="571" spans="2:21" ht="12.75"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</row>
    <row r="572" spans="2:21" ht="12.75"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</row>
    <row r="573" spans="2:21" ht="12.75"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</row>
    <row r="574" spans="2:21" ht="12.75"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</row>
    <row r="575" spans="2:21" ht="12.75"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</row>
    <row r="576" spans="2:21" ht="12.75"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</row>
    <row r="577" spans="2:21" ht="12.75"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</row>
    <row r="578" spans="2:21" ht="12.75"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</row>
    <row r="579" spans="2:21" ht="12.75"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</row>
    <row r="580" spans="2:21" ht="12.75"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</row>
    <row r="581" spans="2:21" ht="12.75"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</row>
    <row r="582" spans="2:21" ht="12.75"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</row>
    <row r="583" spans="2:21" ht="12.75"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</row>
    <row r="584" spans="2:21" ht="12.75"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</row>
    <row r="585" spans="2:21" ht="12.75"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</row>
    <row r="586" spans="2:21" ht="12.75"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</row>
    <row r="587" spans="2:21" ht="12.75"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</row>
    <row r="588" spans="2:21" ht="12.75"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</row>
    <row r="589" spans="2:21" ht="12.75"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</row>
    <row r="590" spans="2:21" ht="12.75"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</row>
    <row r="591" spans="2:21" ht="12.75"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</row>
    <row r="592" spans="2:21" ht="12.75"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</row>
    <row r="593" spans="2:21" ht="12.75"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</row>
    <row r="594" spans="2:21" ht="12.75"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</row>
    <row r="595" spans="2:21" ht="12.75"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</row>
    <row r="596" spans="2:21" ht="12.75"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</row>
    <row r="597" spans="2:21" ht="12.75"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</row>
    <row r="598" spans="2:21" ht="12.75"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</row>
    <row r="599" spans="2:21" ht="12.75"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</row>
    <row r="600" spans="2:21" ht="12.75"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</row>
    <row r="601" spans="2:21" ht="12.75"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</row>
    <row r="602" spans="2:21" ht="12.75"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</row>
    <row r="603" spans="2:21" ht="12.75"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</row>
    <row r="604" spans="2:21" ht="12.75"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</row>
    <row r="605" spans="2:21" ht="12.75"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</row>
    <row r="606" spans="2:21" ht="12.75"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</row>
    <row r="607" spans="2:21" ht="12.75"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</row>
    <row r="608" spans="2:21" ht="12.75"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</row>
    <row r="609" spans="2:21" ht="12.75"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</row>
    <row r="610" spans="2:21" ht="12.75"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</row>
    <row r="611" spans="2:21" ht="12.75"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</row>
    <row r="612" spans="2:21" ht="12.75"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</row>
    <row r="613" spans="2:21" ht="12.75"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</row>
    <row r="614" spans="2:21" ht="12.75"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</row>
    <row r="615" spans="2:21" ht="12.75"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</row>
    <row r="616" spans="2:21" ht="12.75"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</row>
    <row r="617" spans="2:21" ht="12.75"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</row>
    <row r="618" spans="2:21" ht="12.75"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</row>
    <row r="619" spans="2:21" ht="12.75"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</row>
    <row r="620" spans="2:21" ht="12.75"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</row>
    <row r="621" spans="2:21" ht="12.75"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</row>
    <row r="622" spans="2:21" ht="12.75"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</row>
    <row r="623" spans="2:21" ht="12.75"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</row>
    <row r="624" spans="2:21" ht="12.75"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</row>
    <row r="625" spans="2:21" ht="12.75"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</row>
    <row r="626" spans="2:21" ht="12.75"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</row>
    <row r="627" spans="2:21" ht="12.75"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</row>
    <row r="628" spans="2:21" ht="12.75"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</row>
    <row r="629" spans="2:21" ht="12.75"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</row>
    <row r="630" spans="2:21" ht="12.75"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</row>
    <row r="631" spans="2:21" ht="12.75"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</row>
    <row r="632" spans="2:21" ht="12.75"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</row>
    <row r="633" spans="2:21" ht="12.75"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</row>
    <row r="634" spans="2:21" ht="12.75"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</row>
    <row r="635" spans="2:21" ht="12.75"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</row>
    <row r="636" spans="2:21" ht="12.75"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</row>
    <row r="637" spans="2:21" ht="12.75"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</row>
    <row r="638" spans="2:21" ht="12.75"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</row>
    <row r="639" spans="2:21" ht="12.75"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</row>
    <row r="640" spans="2:21" ht="12.75"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</row>
    <row r="641" spans="2:21" ht="12.75"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</row>
    <row r="642" spans="2:21" ht="12.75"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</row>
    <row r="643" spans="2:21" ht="12.75"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</row>
    <row r="644" spans="2:21" ht="12.75"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</row>
    <row r="645" spans="2:21" ht="12.75"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</row>
    <row r="646" spans="2:21" ht="12.75"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</row>
    <row r="647" spans="2:21" ht="12.75"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</row>
    <row r="648" spans="2:21" ht="12.75"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</row>
    <row r="649" spans="2:21" ht="12.75"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</row>
    <row r="650" spans="2:21" ht="12.75"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</row>
    <row r="651" spans="2:21" ht="12.75"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</row>
    <row r="652" spans="2:21" ht="12.75"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</row>
    <row r="653" spans="2:21" ht="12.75"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</row>
    <row r="654" spans="2:21" ht="12.75"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</row>
    <row r="655" spans="2:21" ht="12.75"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</row>
    <row r="656" spans="2:21" ht="12.75"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</row>
    <row r="657" spans="2:21" ht="12.75"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</row>
    <row r="658" spans="2:21" ht="12.75"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</row>
    <row r="659" spans="2:21" ht="12.75"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</row>
    <row r="660" spans="2:21" ht="12.75"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</row>
    <row r="661" spans="2:21" ht="12.75"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</row>
    <row r="662" spans="2:21" ht="12.75"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</row>
    <row r="663" spans="2:21" ht="12.75"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</row>
    <row r="664" spans="2:21" ht="12.75"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</row>
    <row r="665" spans="2:21" ht="12.75"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</row>
    <row r="666" spans="2:21" ht="12.75"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</row>
    <row r="667" spans="2:21" ht="12.75"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</row>
    <row r="668" spans="2:21" ht="12.75"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</row>
    <row r="669" spans="2:21" ht="12.75"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</row>
    <row r="670" spans="2:21" ht="12.75"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</row>
    <row r="671" spans="2:21" ht="12.75"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</row>
    <row r="672" spans="2:21" ht="12.75"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</row>
    <row r="673" spans="2:21" ht="12.75"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</row>
    <row r="674" spans="2:21" ht="12.75"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</row>
    <row r="675" spans="2:21" ht="12.75"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</row>
    <row r="676" spans="2:21" ht="12.75"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</row>
    <row r="677" spans="2:21" ht="12.75"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</row>
    <row r="678" spans="2:21" ht="12.75"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</row>
    <row r="679" spans="2:21" ht="12.75"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</row>
    <row r="680" spans="2:21" ht="12.75"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</row>
    <row r="681" spans="2:21" ht="12.75"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</row>
    <row r="682" spans="2:21" ht="12.75"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</row>
    <row r="683" spans="2:21" ht="12.75"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</row>
    <row r="684" spans="2:21" ht="12.75"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</row>
    <row r="685" spans="2:21" ht="12.75"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</row>
    <row r="686" spans="2:21" ht="12.75"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</row>
    <row r="687" spans="2:21" ht="12.75"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</row>
    <row r="688" spans="2:21" ht="12.75"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</row>
    <row r="689" spans="2:21" ht="12.75"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</row>
    <row r="690" spans="2:21" ht="12.75"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</row>
    <row r="691" spans="2:21" ht="12.75"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</row>
    <row r="692" spans="2:21" ht="12.75"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</row>
    <row r="693" spans="2:21" ht="12.75"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</row>
    <row r="694" spans="2:21" ht="12.75"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</row>
    <row r="695" spans="2:21" ht="12.75"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</row>
    <row r="696" spans="2:21" ht="12.75"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</row>
    <row r="697" spans="2:21" ht="12.75"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</row>
    <row r="698" spans="2:21" ht="12.75"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</row>
    <row r="699" spans="2:21" ht="12.75"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</row>
    <row r="700" spans="2:21" ht="12.75"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</row>
    <row r="701" spans="2:21" ht="12.75"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</row>
    <row r="702" spans="2:21" ht="12.75"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</row>
    <row r="703" spans="2:21" ht="12.75"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</row>
    <row r="704" spans="2:21" ht="12.75"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</row>
    <row r="705" spans="2:21" ht="12.75"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</row>
    <row r="706" spans="2:21" ht="12.75"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</row>
    <row r="707" spans="2:21" ht="12.75"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</row>
    <row r="708" spans="2:21" ht="12.75"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</row>
    <row r="709" spans="2:21" ht="12.75"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</row>
    <row r="710" spans="2:21" ht="12.75"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</row>
    <row r="711" spans="2:21" ht="12.75"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</row>
    <row r="712" spans="2:21" ht="12.75"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</row>
    <row r="713" spans="2:21" ht="12.75"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</row>
    <row r="714" spans="2:21" ht="12.75"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</row>
    <row r="715" spans="2:21" ht="12.75"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</row>
    <row r="716" spans="2:21" ht="12.75"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</row>
    <row r="717" spans="2:21" ht="12.75"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</row>
    <row r="718" spans="2:21" ht="12.75"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</row>
    <row r="719" spans="2:21" ht="12.75"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</row>
    <row r="720" spans="2:21" ht="12.75"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</row>
    <row r="721" spans="2:21" ht="12.75"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</row>
    <row r="722" spans="2:21" ht="12.75"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</row>
    <row r="723" spans="2:21" ht="12.75"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</row>
    <row r="724" spans="2:21" ht="12.75"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</row>
    <row r="725" spans="2:21" ht="12.75"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</row>
    <row r="726" spans="2:21" ht="12.75"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</row>
    <row r="727" spans="2:21" ht="12.75"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</row>
    <row r="728" spans="2:21" ht="12.75"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</row>
    <row r="729" spans="2:21" ht="12.75"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</row>
    <row r="730" spans="2:21" ht="12.75"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</row>
    <row r="731" spans="2:21" ht="12.75"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</row>
    <row r="732" spans="2:21" ht="12.75"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</row>
    <row r="733" spans="2:21" ht="12.75"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</row>
    <row r="734" spans="2:21" ht="12.75"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</row>
    <row r="735" spans="2:21" ht="12.75"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</row>
    <row r="736" spans="2:21" ht="12.75"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</row>
    <row r="737" spans="2:21" ht="12.75"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</row>
    <row r="738" spans="2:21" ht="12.75"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</row>
    <row r="739" spans="2:21" ht="12.75"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</row>
    <row r="740" spans="2:21" ht="12.75"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</row>
    <row r="741" spans="2:21" ht="12.75"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</row>
    <row r="742" spans="2:21" ht="12.75"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</row>
    <row r="743" spans="2:21" ht="12.75"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</row>
    <row r="744" spans="2:21" ht="12.75"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</row>
    <row r="745" spans="2:21" ht="12.75"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</row>
    <row r="746" spans="2:21" ht="12.75"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</row>
    <row r="747" spans="2:21" ht="12.75"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</row>
    <row r="748" spans="2:21" ht="12.75"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</row>
    <row r="749" spans="2:21" ht="12.75"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</row>
    <row r="750" spans="2:21" ht="12.75"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</row>
    <row r="751" spans="2:21" ht="12.75"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</row>
    <row r="752" spans="2:21" ht="12.75"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</row>
    <row r="753" spans="2:21" ht="12.75"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</row>
    <row r="754" spans="2:21" ht="12.75"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</row>
    <row r="755" spans="2:21" ht="12.75"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</row>
    <row r="756" spans="2:21" ht="12.75"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</row>
    <row r="757" spans="2:21" ht="12.75"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</row>
    <row r="758" spans="2:21" ht="12.75"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</row>
    <row r="759" spans="2:21" ht="12.75"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</row>
    <row r="760" spans="2:21" ht="12.75"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</row>
    <row r="761" spans="2:21" ht="12.75"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</row>
    <row r="762" spans="2:21" ht="12.75"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</row>
    <row r="763" spans="2:21" ht="12.75"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</row>
    <row r="764" spans="2:21" ht="12.75"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</row>
    <row r="765" spans="2:21" ht="12.75"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</row>
    <row r="766" spans="2:21" ht="12.75"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</row>
    <row r="767" spans="2:21" ht="12.75"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</row>
    <row r="768" spans="2:21" ht="12.75"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</row>
    <row r="769" spans="2:21" ht="12.75"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</row>
    <row r="770" spans="2:21" ht="12.75"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</row>
    <row r="771" spans="2:21" ht="12.75"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</row>
    <row r="772" spans="2:21" ht="12.75"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</row>
    <row r="773" spans="2:21" ht="12.75"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</row>
    <row r="774" spans="2:21" ht="12.75"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</row>
    <row r="775" spans="2:21" ht="12.75"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</row>
    <row r="776" spans="2:21" ht="12.75"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</row>
    <row r="777" spans="2:21" ht="12.75"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</row>
    <row r="778" spans="2:21" ht="12.75"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</row>
    <row r="779" spans="2:21" ht="12.75"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</row>
    <row r="780" spans="2:21" ht="12.75"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</row>
    <row r="781" spans="2:21" ht="12.75"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</row>
    <row r="782" spans="2:21" ht="12.75"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</row>
    <row r="783" spans="2:21" ht="12.75"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</row>
    <row r="784" spans="2:21" ht="12.75"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</row>
    <row r="785" spans="2:21" ht="12.75"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</row>
    <row r="786" spans="2:21" ht="12.75"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</row>
    <row r="787" spans="2:21" ht="12.75"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</row>
    <row r="788" spans="2:21" ht="12.75"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</row>
    <row r="789" spans="2:21" ht="12.75"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</row>
    <row r="790" spans="2:21" ht="12.75"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</row>
    <row r="791" spans="2:21" ht="12.75"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</row>
    <row r="792" spans="2:21" ht="12.75"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</row>
    <row r="793" spans="2:21" ht="12.75"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</row>
    <row r="794" spans="2:21" ht="12.75"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</row>
    <row r="795" spans="2:21" ht="12.75"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</row>
    <row r="796" spans="2:21" ht="12.75"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</row>
    <row r="797" spans="2:21" ht="12.75"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</row>
    <row r="798" spans="2:21" ht="12.75"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</row>
    <row r="799" spans="2:21" ht="12.75"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</row>
    <row r="800" spans="2:21" ht="12.75"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</row>
    <row r="801" spans="2:21" ht="12.75"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</row>
    <row r="802" spans="2:21" ht="12.75"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</row>
    <row r="803" spans="2:21" ht="12.75"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</row>
    <row r="804" spans="2:21" ht="12.75"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</row>
    <row r="805" spans="2:21" ht="12.75"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</row>
    <row r="806" spans="2:21" ht="12.75"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</row>
    <row r="807" spans="2:21" ht="12.75"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</row>
    <row r="808" spans="2:21" ht="12.75"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</row>
    <row r="809" spans="2:21" ht="12.75"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</row>
    <row r="810" spans="2:21" ht="12.75"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</row>
    <row r="811" spans="2:21" ht="12.75"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</row>
    <row r="812" spans="2:21" ht="12.75"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</row>
    <row r="813" spans="2:21" ht="12.75"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</row>
    <row r="814" spans="2:21" ht="12.75"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</row>
    <row r="815" spans="2:21" ht="12.75"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</row>
    <row r="816" spans="2:21" ht="12.75"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</row>
    <row r="817" spans="2:21" ht="12.75"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</row>
    <row r="818" spans="2:21" ht="12.75"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</row>
    <row r="819" spans="2:21" ht="12.75"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</row>
    <row r="820" spans="2:21" ht="12.75"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</row>
    <row r="821" spans="2:21" ht="12.75"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</row>
    <row r="822" spans="2:21" ht="12.75"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</row>
    <row r="823" spans="2:21" ht="12.75"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</row>
    <row r="824" spans="2:21" ht="12.75"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</row>
    <row r="825" spans="2:21" ht="12.75"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</row>
    <row r="826" spans="2:21" ht="12.75"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</row>
    <row r="827" spans="2:21" ht="12.75"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</row>
    <row r="828" spans="2:21" ht="12.75"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</row>
    <row r="829" spans="2:21" ht="12.75"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</row>
    <row r="830" spans="2:21" ht="12.75"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</row>
    <row r="831" spans="2:21" ht="12.75"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</row>
    <row r="832" spans="2:21" ht="12.75"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</row>
    <row r="833" spans="2:21" ht="12.75"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</row>
    <row r="834" spans="2:21" ht="12.75"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</row>
    <row r="835" spans="2:21" ht="12.75"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</row>
    <row r="836" spans="2:21" ht="12.75"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</row>
    <row r="837" spans="2:21" ht="12.75"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</row>
    <row r="838" spans="2:21" ht="12.75"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</row>
    <row r="839" spans="2:21" ht="12.75"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</row>
    <row r="840" spans="2:21" ht="12.75"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</row>
    <row r="841" spans="2:21" ht="12.75"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</row>
    <row r="842" spans="2:21" ht="12.75"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</row>
    <row r="843" spans="2:21" ht="12.75"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</row>
    <row r="844" spans="2:21" ht="12.75"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</row>
    <row r="845" spans="2:21" ht="12.75"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</row>
    <row r="846" spans="2:21" ht="12.75"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</row>
    <row r="847" spans="2:21" ht="12.75"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</row>
    <row r="848" spans="2:21" ht="12.75"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</row>
    <row r="849" spans="2:21" ht="12.75"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</row>
    <row r="850" spans="2:21" ht="12.75"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</row>
    <row r="851" spans="2:21" ht="12.75"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</row>
    <row r="852" spans="2:21" ht="12.75"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</row>
    <row r="853" spans="2:21" ht="12.75"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</row>
    <row r="854" spans="2:21" ht="12.75"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</row>
    <row r="855" spans="2:21" ht="12.75"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</row>
    <row r="856" spans="2:21" ht="12.75"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</row>
    <row r="857" spans="2:21" ht="12.75"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</row>
    <row r="858" spans="2:21" ht="12.75"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</row>
    <row r="859" spans="2:21" ht="12.75"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</row>
    <row r="860" spans="2:21" ht="12.75"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</row>
    <row r="861" spans="2:21" ht="12.75"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</row>
    <row r="862" spans="2:21" ht="12.75"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</row>
    <row r="863" spans="2:21" ht="12.75"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</row>
    <row r="864" spans="2:21" ht="12.75"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</row>
    <row r="865" spans="2:21" ht="12.75"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</row>
    <row r="866" spans="2:21" ht="12.75"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</row>
    <row r="867" spans="2:21" ht="12.75"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</row>
    <row r="868" spans="2:21" ht="12.75"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</row>
    <row r="869" spans="2:21" ht="12.75"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</row>
    <row r="870" spans="2:21" ht="12.75"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</row>
    <row r="871" spans="2:21" ht="12.75"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</row>
    <row r="872" spans="2:21" ht="12.75"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</row>
    <row r="873" spans="2:21" ht="12.75"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</row>
    <row r="874" spans="2:21" ht="12.75"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</row>
    <row r="875" spans="2:21" ht="12.75"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</row>
    <row r="876" spans="2:21" ht="12.75"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</row>
    <row r="877" spans="2:21" ht="12.75"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</row>
    <row r="878" spans="2:21" ht="12.75"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</row>
    <row r="879" spans="2:21" ht="12.75"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</row>
    <row r="880" spans="2:21" ht="12.75"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</row>
    <row r="881" spans="2:21" ht="12.75"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</row>
    <row r="882" spans="2:21" ht="12.75"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</row>
    <row r="883" spans="2:21" ht="12.75"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</row>
    <row r="884" spans="2:21" ht="12.75"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</row>
    <row r="885" spans="2:21" ht="12.75"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</row>
    <row r="886" spans="2:21" ht="12.75"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</row>
    <row r="887" spans="2:21" ht="12.75"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</row>
    <row r="888" spans="2:21" ht="12.75"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</row>
    <row r="889" spans="2:21" ht="12.75"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</row>
    <row r="890" spans="2:21" ht="12.75"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</row>
    <row r="891" spans="2:21" ht="12.75"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</row>
    <row r="892" spans="2:21" ht="12.75"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</row>
    <row r="893" spans="2:21" ht="12.75"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</row>
    <row r="894" spans="2:21" ht="12.75"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</row>
    <row r="895" spans="2:21" ht="12.75"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</row>
    <row r="896" spans="2:21" ht="12.75"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</row>
    <row r="897" spans="2:21" ht="12.75"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</row>
    <row r="898" spans="2:21" ht="12.75"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</row>
    <row r="899" spans="2:21" ht="12.75"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</row>
    <row r="900" spans="2:21" ht="12.75"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</row>
    <row r="901" spans="2:21" ht="12.75"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</row>
    <row r="902" spans="2:21" ht="12.75"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</row>
    <row r="903" spans="2:21" ht="12.75"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</row>
    <row r="904" spans="2:21" ht="12.75"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</row>
    <row r="905" spans="2:21" ht="12.75"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</row>
    <row r="906" spans="2:21" ht="12.75"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</row>
    <row r="907" spans="2:21" ht="12.75"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</row>
    <row r="908" spans="2:21" ht="12.75"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</row>
    <row r="909" spans="2:21" ht="12.75"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</row>
    <row r="910" spans="2:21" ht="12.75"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</row>
    <row r="911" spans="2:21" ht="12.75"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</row>
    <row r="912" spans="2:21" ht="12.75"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</row>
    <row r="913" spans="2:21" ht="12.75"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</row>
    <row r="914" spans="2:21" ht="12.75"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</row>
    <row r="915" spans="2:21" ht="12.75"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</row>
    <row r="916" spans="2:21" ht="12.75"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</row>
    <row r="917" spans="2:21" ht="12.75"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</row>
    <row r="918" spans="2:21" ht="12.75"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</row>
    <row r="919" spans="2:21" ht="12.75"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</row>
    <row r="920" spans="2:21" ht="12.75"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</row>
    <row r="921" spans="2:21" ht="12.75"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</row>
    <row r="922" spans="2:21" ht="12.75"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</row>
    <row r="923" spans="2:21" ht="12.75"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</row>
    <row r="924" spans="2:21" ht="12.75"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</row>
    <row r="925" spans="2:21" ht="12.75"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</row>
    <row r="926" spans="2:21" ht="12.75"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</row>
    <row r="927" spans="2:21" ht="12.75"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</row>
    <row r="928" spans="2:21" ht="12.75"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</row>
    <row r="929" spans="2:21" ht="12.75"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</row>
    <row r="930" spans="2:21" ht="12.75"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</row>
    <row r="931" spans="2:21" ht="12.75"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</row>
    <row r="932" spans="2:21" ht="12.75"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</row>
    <row r="933" spans="2:21" ht="12.75"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</row>
    <row r="934" spans="2:21" ht="12.75"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</row>
    <row r="935" spans="2:21" ht="12.75"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</row>
    <row r="936" spans="2:21" ht="12.75"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</row>
    <row r="937" spans="2:21" ht="12.75"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</row>
    <row r="938" spans="2:21" ht="12.75"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</row>
    <row r="939" spans="2:21" ht="12.75"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</row>
    <row r="940" spans="2:21" ht="12.75"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</row>
    <row r="941" spans="2:21" ht="12.75"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</row>
    <row r="942" spans="2:21" ht="12.75"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</row>
    <row r="943" spans="2:21" ht="12.75"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</row>
    <row r="944" spans="2:21" ht="12.75"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</row>
    <row r="945" spans="2:21" ht="12.75"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</row>
    <row r="946" spans="2:21" ht="12.75"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</row>
    <row r="947" spans="2:21" ht="12.75"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</row>
    <row r="948" spans="2:21" ht="12.75"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</row>
    <row r="949" spans="2:21" ht="12.75"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</row>
    <row r="950" spans="2:21" ht="12.75"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</row>
    <row r="951" spans="2:21" ht="12.75"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</row>
    <row r="952" spans="2:21" ht="12.75"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</row>
    <row r="953" spans="2:21" ht="12.75"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</row>
    <row r="954" spans="2:21" ht="12.75"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</row>
    <row r="955" spans="2:21" ht="12.75"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</row>
    <row r="956" spans="2:21" ht="12.75"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</row>
    <row r="957" spans="2:21" ht="12.75"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</row>
    <row r="958" spans="2:21" ht="12.75"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</row>
    <row r="959" spans="2:21" ht="12.75"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</row>
    <row r="960" spans="2:21" ht="12.75"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</row>
    <row r="961" spans="2:21" ht="12.75"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</row>
    <row r="962" spans="2:21" ht="12.75"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</row>
    <row r="963" spans="2:21" ht="12.75"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</row>
    <row r="964" spans="2:21" ht="12.75"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</row>
    <row r="965" spans="2:21" ht="12.75"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</row>
    <row r="966" spans="2:21" ht="12.75"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</row>
    <row r="967" spans="2:21" ht="12.75"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</row>
    <row r="968" spans="2:21" ht="12.75"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</row>
    <row r="969" spans="2:21" ht="12.75"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</row>
    <row r="970" spans="2:21" ht="12.75"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</row>
    <row r="971" spans="2:21" ht="12.75"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</row>
    <row r="972" spans="2:21" ht="12.75"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</row>
    <row r="973" spans="2:21" ht="12.75"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</row>
    <row r="974" spans="2:21" ht="12.75"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</row>
    <row r="975" spans="2:21" ht="12.75"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</row>
    <row r="976" spans="2:21" ht="12.75"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</row>
    <row r="977" spans="2:21" ht="12.75"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</row>
    <row r="978" spans="2:21" ht="12.75"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</row>
    <row r="979" spans="2:21" ht="12.75"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</row>
    <row r="980" spans="2:21" ht="12.75"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</row>
    <row r="981" spans="2:21" ht="12.75"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</row>
    <row r="982" spans="2:21" ht="12.75"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</row>
    <row r="983" spans="2:21" ht="12.75"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</row>
    <row r="984" spans="2:21" ht="12.75"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</row>
    <row r="985" spans="2:21" ht="12.75"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</row>
    <row r="986" spans="2:21" ht="12.75"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</row>
    <row r="987" spans="2:21" ht="12.75"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</row>
    <row r="988" spans="2:21" ht="12.75"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</row>
    <row r="989" spans="2:21" ht="12.75"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</row>
    <row r="990" spans="2:21" ht="12.75"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</row>
    <row r="991" spans="2:21" ht="12.75"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</row>
    <row r="992" spans="2:21" ht="12.75"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</row>
    <row r="993" spans="2:21" ht="12.75"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</row>
    <row r="994" spans="2:21" ht="12.75"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</row>
    <row r="995" spans="2:21" ht="12.75"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</row>
    <row r="996" spans="2:21" ht="12.75"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</row>
    <row r="997" spans="2:21" ht="12.75"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</row>
    <row r="998" spans="2:21" ht="12.75"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</row>
    <row r="999" spans="2:21" ht="12.75"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</row>
    <row r="1000" spans="2:21" ht="12.75"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</row>
    <row r="1001" spans="2:21" ht="12.75"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</row>
    <row r="1002" spans="2:21" ht="12.75"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</row>
    <row r="1003" spans="2:21" ht="12.75"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</row>
    <row r="1004" spans="2:21" ht="12.75"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</row>
    <row r="1005" spans="2:21" ht="12.75"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</row>
    <row r="1006" spans="2:21" ht="12.75"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</row>
    <row r="1007" spans="2:21" ht="12.75"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</row>
    <row r="1008" spans="2:21" ht="12.75"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</row>
    <row r="1009" spans="2:21" ht="12.75"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</row>
    <row r="1010" spans="2:21" ht="12.75"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</row>
    <row r="1011" spans="2:21" ht="12.75"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</row>
    <row r="1012" spans="2:21" ht="12.75"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</row>
    <row r="1013" spans="2:21" ht="12.75"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</row>
    <row r="1014" spans="2:21" ht="12.75"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</row>
    <row r="1015" spans="2:21" ht="12.75"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</row>
    <row r="1016" spans="2:21" ht="12.75"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</row>
    <row r="1017" spans="2:21" ht="12.75"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</row>
    <row r="1018" spans="2:21" ht="12.75"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</row>
    <row r="1019" spans="2:21" ht="12.75"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</row>
    <row r="1020" spans="2:21" ht="12.75"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</row>
    <row r="1021" spans="2:21" ht="12.75"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</row>
    <row r="1022" spans="2:21" ht="12.75"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</row>
    <row r="1023" spans="2:21" ht="12.75"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</row>
    <row r="1024" spans="2:21" ht="12.75"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</row>
    <row r="1025" spans="2:21" ht="12.75"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</row>
    <row r="1026" spans="2:21" ht="12.75"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</row>
    <row r="1027" spans="2:21" ht="12.75"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</row>
    <row r="1028" spans="2:21" ht="12.75"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</row>
    <row r="1029" spans="2:21" ht="12.75"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</row>
    <row r="1030" spans="2:21" ht="12.75"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</row>
    <row r="1031" spans="2:21" ht="12.75"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</row>
    <row r="1032" spans="2:21" ht="12.75"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</row>
    <row r="1033" spans="2:21" ht="12.75"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</row>
    <row r="1034" spans="2:21" ht="12.75"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</row>
    <row r="1035" spans="2:21" ht="12.75"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</row>
    <row r="1036" spans="2:21" ht="12.75"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</row>
    <row r="1037" spans="2:21" ht="12.75"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</row>
    <row r="1038" spans="2:21" ht="12.75"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</row>
    <row r="1039" spans="2:21" ht="12.75"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</row>
    <row r="1040" spans="2:21" ht="12.75"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</row>
    <row r="1041" spans="2:21" ht="12.75"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</row>
    <row r="1042" spans="2:21" ht="12.75"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</row>
    <row r="1043" spans="2:21" ht="12.75"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</row>
    <row r="1044" spans="2:21" ht="12.75"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</row>
    <row r="1045" spans="2:21" ht="12.75"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</row>
    <row r="1046" spans="2:21" ht="12.75"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</row>
    <row r="1047" spans="2:21" ht="12.75"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</row>
    <row r="1048" spans="2:21" ht="12.75"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</row>
    <row r="1049" spans="2:21" ht="12.75"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</row>
    <row r="1050" spans="2:21" ht="12.75"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</row>
    <row r="1051" spans="2:21" ht="12.75"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</row>
    <row r="1052" spans="2:21" ht="12.75"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</row>
    <row r="1053" spans="2:21" ht="12.75"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</row>
    <row r="1054" spans="2:21" ht="12.75"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</row>
    <row r="1055" spans="2:21" ht="12.75"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</row>
    <row r="1056" spans="2:21" ht="12.75"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</row>
    <row r="1057" spans="2:21" ht="12.75"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</row>
    <row r="1058" spans="2:21" ht="12.75"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</row>
    <row r="1059" spans="2:21" ht="12.75"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</row>
    <row r="1060" spans="2:21" ht="12.75"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</row>
    <row r="1061" spans="2:21" ht="12.75"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</row>
    <row r="1062" spans="2:21" ht="12.75"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</row>
    <row r="1063" spans="2:21" ht="12.75"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</row>
    <row r="1064" spans="2:21" ht="12.75"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</row>
    <row r="1065" spans="2:21" ht="12.75"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</row>
    <row r="1066" spans="2:21" ht="12.75"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</row>
    <row r="1067" spans="2:21" ht="12.75"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</row>
    <row r="1068" spans="2:21" ht="12.75"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</row>
    <row r="1069" spans="2:21" ht="12.75"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</row>
    <row r="1070" spans="2:21" ht="12.75"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</row>
    <row r="1071" spans="2:21" ht="12.75"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</row>
    <row r="1072" spans="2:21" ht="12.75"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</row>
    <row r="1073" spans="2:21" ht="12.75"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</row>
    <row r="1074" spans="2:21" ht="12.75"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</row>
    <row r="1075" spans="2:21" ht="12.75"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</row>
    <row r="1076" spans="2:21" ht="12.75"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</row>
    <row r="1077" spans="2:21" ht="12.75"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</row>
    <row r="1078" spans="2:21" ht="12.75"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</row>
    <row r="1079" spans="2:21" ht="12.75"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</row>
    <row r="1080" spans="2:21" ht="12.75"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</row>
    <row r="1081" spans="2:21" ht="12.75"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</row>
    <row r="1082" spans="2:21" ht="12.75"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</row>
    <row r="1083" spans="2:21" ht="12.75"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</row>
    <row r="1084" spans="2:21" ht="12.75"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</row>
    <row r="1085" spans="2:21" ht="12.75"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</row>
    <row r="1086" spans="2:21" ht="12.75"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</row>
    <row r="1087" spans="2:21" ht="12.75"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</row>
    <row r="1088" spans="2:21" ht="12.75"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</row>
    <row r="1089" spans="2:21" ht="12.75"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</row>
    <row r="1090" spans="2:21" ht="12.75"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</row>
    <row r="1091" spans="2:21" ht="12.75"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</row>
    <row r="1092" spans="2:21" ht="12.75"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</row>
    <row r="1093" spans="2:21" ht="12.75"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</row>
    <row r="1094" spans="2:21" ht="12.75"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</row>
    <row r="1095" spans="2:21" ht="12.75"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</row>
    <row r="1096" spans="2:21" ht="12.75"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</row>
    <row r="1097" spans="2:21" ht="12.75"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</row>
    <row r="1098" spans="2:21" ht="12.75"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</row>
    <row r="1099" spans="2:21" ht="12.75"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</row>
    <row r="1100" spans="2:21" ht="12.75"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</row>
    <row r="1101" spans="2:21" ht="12.75"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</row>
    <row r="1102" spans="2:21" ht="12.75"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</row>
    <row r="1103" spans="2:21" ht="12.75"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</row>
    <row r="1104" spans="2:21" ht="12.75"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</row>
    <row r="1105" spans="2:21" ht="12.75"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</row>
    <row r="1106" spans="2:21" ht="12.75"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</row>
    <row r="1107" spans="2:21" ht="12.75"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</row>
    <row r="1108" spans="2:21" ht="12.75"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</row>
    <row r="1109" spans="2:21" ht="12.75"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</row>
    <row r="1110" spans="2:21" ht="12.75"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</row>
    <row r="1111" spans="2:21" ht="12.75"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</row>
    <row r="1112" spans="2:21" ht="12.75"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</row>
    <row r="1113" spans="2:21" ht="12.75"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</row>
    <row r="1114" spans="2:21" ht="12.75"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</row>
    <row r="1115" spans="2:21" ht="12.75"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</row>
    <row r="1116" spans="2:21" ht="12.75"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</row>
    <row r="1117" spans="2:21" ht="12.75"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</row>
    <row r="1118" spans="2:21" ht="12.75"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</row>
    <row r="1119" spans="2:21" ht="12.75"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</row>
    <row r="1120" spans="2:21" ht="12.75"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</row>
    <row r="1121" spans="2:21" ht="12.75"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</row>
    <row r="1122" spans="2:21" ht="12.75"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</row>
    <row r="1123" spans="2:21" ht="12.75"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</row>
    <row r="1124" spans="2:21" ht="12.75"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</row>
    <row r="1125" spans="2:21" ht="12.75"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</row>
    <row r="1126" spans="2:21" ht="12.75"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</row>
    <row r="1127" spans="2:21" ht="12.75"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</row>
    <row r="1128" spans="2:21" ht="12.75"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</row>
    <row r="1129" spans="2:21" ht="12.75"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</row>
    <row r="1130" spans="2:21" ht="12.75"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</row>
    <row r="1131" spans="2:21" ht="12.75"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</row>
    <row r="1132" spans="2:21" ht="12.75"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</row>
    <row r="1133" spans="2:21" ht="12.75"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</row>
    <row r="1134" spans="2:21" ht="12.75"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</row>
    <row r="1135" spans="2:21" ht="12.75"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</row>
    <row r="1136" spans="2:21" ht="12.75"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</row>
    <row r="1137" spans="2:21" ht="12.75"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</row>
    <row r="1138" spans="2:21" ht="12.75"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</row>
    <row r="1139" spans="2:21" ht="12.75"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</row>
    <row r="1140" spans="2:21" ht="12.75"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</row>
    <row r="1141" spans="2:21" ht="12.75"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</row>
    <row r="1142" spans="2:21" ht="12.75"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</row>
    <row r="1143" spans="2:21" ht="12.75"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</row>
    <row r="1144" spans="2:21" ht="12.75"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</row>
    <row r="1145" spans="2:21" ht="12.75"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</row>
    <row r="1146" spans="2:21" ht="12.75"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</row>
    <row r="1147" spans="2:21" ht="12.75"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</row>
    <row r="1148" spans="2:21" ht="12.75"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</row>
    <row r="1149" spans="2:21" ht="12.75"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</row>
    <row r="1150" spans="2:21" ht="12.75"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</row>
    <row r="1151" spans="2:21" ht="12.75"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</row>
    <row r="1152" spans="2:21" ht="12.75"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</row>
    <row r="1153" spans="2:21" ht="12.75"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</row>
    <row r="1154" spans="2:21" ht="12.75"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</row>
    <row r="1155" spans="2:21" ht="12.75"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</row>
    <row r="1156" spans="2:21" ht="12.75"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</row>
    <row r="1157" spans="2:21" ht="12.75"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</row>
    <row r="1158" spans="2:21" ht="12.75"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</row>
    <row r="1159" spans="2:21" ht="12.75"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</row>
    <row r="1160" spans="2:21" ht="12.75"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</row>
    <row r="1161" spans="2:21" ht="12.75"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</row>
    <row r="1162" spans="2:21" ht="12.75"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</row>
    <row r="1163" spans="2:21" ht="12.75"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</row>
    <row r="1164" spans="2:21" ht="12.75"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</row>
    <row r="1165" spans="2:21" ht="12.75"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</row>
    <row r="1166" spans="2:21" ht="12.75"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</row>
    <row r="1167" spans="2:21" ht="12.75"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</row>
    <row r="1168" spans="2:21" ht="12.75"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</row>
    <row r="1169" spans="2:21" ht="12.75"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</row>
    <row r="1170" spans="2:21" ht="12.75"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</row>
    <row r="1171" spans="2:21" ht="12.75"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</row>
    <row r="1172" spans="2:21" ht="12.75"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</row>
    <row r="1173" spans="2:21" ht="12.75"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</row>
    <row r="1174" spans="2:21" ht="12.75"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</row>
    <row r="1175" spans="2:21" ht="12.75"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</row>
    <row r="1176" spans="2:21" ht="12.75"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</row>
    <row r="1177" spans="2:21" ht="12.75"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</row>
    <row r="1178" spans="2:21" ht="12.75"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</row>
    <row r="1179" spans="2:21" ht="12.75"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</row>
    <row r="1180" spans="2:21" ht="12.75"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</row>
    <row r="1181" spans="2:21" ht="12.75"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</row>
    <row r="1182" spans="2:21" ht="12.75"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</row>
    <row r="1183" spans="2:21" ht="12.75"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</row>
    <row r="1184" spans="2:21" ht="12.75"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</row>
    <row r="1185" spans="2:21" ht="12.75"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</row>
    <row r="1186" spans="2:21" ht="12.75"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</row>
    <row r="1187" spans="2:21" ht="12.75"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</row>
    <row r="1188" spans="2:21" ht="12.75"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</row>
    <row r="1189" spans="2:21" ht="12.75"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</row>
    <row r="1190" spans="2:21" ht="12.75"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</row>
    <row r="1191" spans="2:21" ht="12.75"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</row>
    <row r="1192" spans="2:21" ht="12.75"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</row>
    <row r="1193" spans="2:21" ht="12.75"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</row>
    <row r="1194" spans="2:21" ht="12.75"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</row>
    <row r="1195" spans="2:21" ht="12.75"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</row>
    <row r="1196" spans="2:21" ht="12.75"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</row>
    <row r="1197" spans="2:21" ht="12.75"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</row>
    <row r="1198" spans="2:21" ht="12.75"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</row>
    <row r="1199" spans="2:21" ht="12.75"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</row>
    <row r="1200" spans="2:21" ht="12.75"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</row>
    <row r="1201" spans="2:21" ht="12.75"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</row>
    <row r="1202" spans="2:21" ht="12.75"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</row>
    <row r="1203" spans="2:21" ht="12.75"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</row>
    <row r="1204" spans="2:21" ht="12.75"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</row>
    <row r="1205" spans="2:21" ht="12.75"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</row>
    <row r="1206" spans="2:21" ht="12.75"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</row>
    <row r="1207" spans="2:21" ht="12.75"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</row>
    <row r="1208" spans="2:21" ht="12.75"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</row>
    <row r="1209" spans="2:21" ht="12.75"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</row>
    <row r="1210" spans="2:21" ht="12.75"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</row>
    <row r="1211" spans="2:21" ht="12.75"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</row>
    <row r="1212" spans="2:21" ht="12.75"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</row>
    <row r="1213" spans="2:21" ht="12.75"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</row>
    <row r="1214" spans="2:21" ht="12.75"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</row>
    <row r="1215" spans="2:21" ht="12.75"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</row>
    <row r="1216" spans="2:21" ht="12.75"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</row>
    <row r="1217" spans="2:21" ht="12.75"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</row>
    <row r="1218" spans="2:21" ht="12.75"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</row>
    <row r="1219" spans="2:21" ht="12.75"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</row>
    <row r="1220" spans="2:21" ht="12.75"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</row>
    <row r="1221" spans="2:21" ht="12.75"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</row>
    <row r="1222" spans="2:21" ht="12.75"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</row>
    <row r="1223" spans="2:21" ht="12.75"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</row>
    <row r="1224" spans="2:21" ht="12.75"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</row>
    <row r="1225" spans="2:21" ht="12.75"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</row>
    <row r="1226" spans="2:21" ht="12.75"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</row>
    <row r="1227" spans="2:21" ht="12.75"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</row>
    <row r="1228" spans="2:21" ht="12.75"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</row>
    <row r="1229" spans="2:21" ht="12.75"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</row>
    <row r="1230" spans="2:21" ht="12.75"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</row>
    <row r="1231" spans="2:21" ht="12.75"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</row>
    <row r="1232" spans="2:21" ht="12.75"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</row>
    <row r="1233" spans="2:21" ht="12.75"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</row>
    <row r="1234" spans="2:21" ht="12.75"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</row>
    <row r="1235" spans="2:21" ht="12.75"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</row>
    <row r="1236" spans="2:21" ht="12.75"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</row>
    <row r="1237" spans="2:21" ht="12.75"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</row>
    <row r="1238" spans="2:21" ht="12.75"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</row>
    <row r="1239" spans="2:21" ht="12.75"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</row>
    <row r="1240" spans="2:21" ht="12.75"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</row>
    <row r="1241" spans="2:21" ht="12.75"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</row>
    <row r="1242" spans="2:21" ht="12.75"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</row>
    <row r="1243" spans="2:21" ht="12.75"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</row>
    <row r="1244" spans="2:21" ht="12.75"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</row>
    <row r="1245" spans="2:21" ht="12.75"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</row>
    <row r="1246" spans="2:21" ht="12.75"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</row>
    <row r="1247" spans="2:21" ht="12.75"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</row>
    <row r="1248" spans="2:21" ht="12.75"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</row>
    <row r="1249" spans="2:21" ht="12.75"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</row>
    <row r="1250" spans="2:21" ht="12.75"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</row>
    <row r="1251" spans="2:21" ht="12.75"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</row>
    <row r="1252" spans="2:21" ht="12.75"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</row>
    <row r="1253" spans="2:21" ht="12.75"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</row>
    <row r="1254" spans="2:21" ht="12.75"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</row>
    <row r="1255" spans="2:21" ht="12.75"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</row>
    <row r="1256" spans="2:21" ht="12.75"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</row>
    <row r="1257" spans="2:21" ht="12.75"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</row>
    <row r="1258" spans="2:21" ht="12.75"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</row>
    <row r="1259" spans="2:21" ht="12.75"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</row>
    <row r="1260" spans="2:21" ht="12.75"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</row>
    <row r="1261" spans="2:21" ht="12.75"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</row>
    <row r="1262" spans="2:21" ht="12.75"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</row>
    <row r="1263" spans="2:21" ht="12.75"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</row>
    <row r="1264" spans="2:21" ht="12.75"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</row>
    <row r="1265" spans="2:21" ht="12.75"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</row>
    <row r="1266" spans="2:21" ht="12.75"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</row>
    <row r="1267" spans="2:21" ht="12.75"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</row>
    <row r="1268" spans="2:21" ht="12.75"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</row>
    <row r="1269" spans="2:21" ht="12.75"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</row>
    <row r="1270" spans="2:21" ht="12.75"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</row>
    <row r="1271" spans="2:21" ht="12.75"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</row>
    <row r="1272" spans="2:21" ht="12.75"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</row>
    <row r="1273" spans="2:21" ht="12.75"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</row>
    <row r="1274" spans="2:21" ht="12.75"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</row>
    <row r="1275" spans="2:21" ht="12.75"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</row>
    <row r="1276" spans="2:21" ht="12.75"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</row>
    <row r="1277" spans="2:21" ht="12.75"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</row>
    <row r="1278" spans="2:21" ht="12.75"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</row>
    <row r="1279" spans="2:21" ht="12.75"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</row>
    <row r="1280" spans="2:21" ht="12.75"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</row>
    <row r="1281" spans="2:21" ht="12.75"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</row>
    <row r="1282" spans="2:21" ht="12.75"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</row>
    <row r="1283" spans="2:21" ht="12.75"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</row>
    <row r="1284" spans="2:21" ht="12.75"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</row>
    <row r="1285" spans="2:21" ht="12.75"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</row>
    <row r="1286" spans="2:21" ht="12.75"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</row>
    <row r="1287" spans="2:21" ht="12.75"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</row>
    <row r="1288" spans="2:21" ht="12.75"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</row>
    <row r="1289" spans="2:21" ht="12.75"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</row>
    <row r="1290" spans="2:21" ht="12.75"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</row>
    <row r="1291" spans="2:21" ht="12.75"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</row>
    <row r="1292" spans="2:21" ht="12.75"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</row>
    <row r="1293" spans="2:21" ht="12.75"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</row>
    <row r="1294" spans="2:21" ht="12.75"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</row>
    <row r="1295" spans="2:21" ht="12.75"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</row>
    <row r="1296" spans="2:21" ht="12.75"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</row>
    <row r="1297" spans="2:21" ht="12.75"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</row>
    <row r="1298" spans="2:21" ht="12.75"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</row>
    <row r="1299" spans="2:21" ht="12.75"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</row>
    <row r="1300" spans="2:21" ht="12.75"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</row>
    <row r="1301" spans="2:21" ht="12.75"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</row>
    <row r="1302" spans="2:21" ht="12.75"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</row>
    <row r="1303" spans="2:21" ht="12.75"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</row>
    <row r="1304" spans="2:21" ht="12.75"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</row>
    <row r="1305" spans="2:21" ht="12.75"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</row>
    <row r="1306" spans="2:21" ht="12.75"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</row>
    <row r="1307" spans="2:21" ht="12.75"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</row>
    <row r="1308" spans="2:21" ht="12.75"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</row>
    <row r="1309" spans="2:21" ht="12.75"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</row>
    <row r="1310" spans="2:21" ht="12.75"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</row>
    <row r="1311" spans="2:21" ht="12.75"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</row>
    <row r="1312" spans="2:21" ht="12.75"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</row>
    <row r="1313" spans="2:21" ht="12.75"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</row>
    <row r="1314" spans="2:21" ht="12.75"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</row>
    <row r="1315" spans="2:21" ht="12.75"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</row>
    <row r="1316" spans="2:21" ht="12.75"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</row>
    <row r="1317" spans="2:21" ht="12.75"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</row>
    <row r="1318" spans="2:21" ht="12.75"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</row>
    <row r="1319" spans="2:21" ht="12.75"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</row>
    <row r="1320" spans="2:21" ht="12.75"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</row>
    <row r="1321" spans="2:21" ht="12.75"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</row>
    <row r="1322" spans="2:21" ht="12.75"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</row>
    <row r="1323" spans="2:21" ht="12.75"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</row>
    <row r="1324" spans="2:21" ht="12.75"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</row>
    <row r="1325" spans="2:21" ht="12.75"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</row>
    <row r="1326" spans="2:21" ht="12.75"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</row>
    <row r="1327" spans="2:21" ht="12.75"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</row>
    <row r="1328" spans="2:21" ht="12.75"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</row>
    <row r="1329" spans="2:21" ht="12.75"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</row>
    <row r="1330" spans="2:21" ht="12.75"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</row>
    <row r="1331" spans="2:21" ht="12.75"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</row>
    <row r="1332" spans="2:21" ht="12.75"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</row>
    <row r="1333" spans="2:21" ht="12.75"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</row>
    <row r="1334" spans="2:21" ht="12.75"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</row>
    <row r="1335" spans="2:21" ht="12.75"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</row>
    <row r="1336" spans="2:21" ht="12.75"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</row>
    <row r="1337" spans="2:21" ht="12.75"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</row>
    <row r="1338" spans="2:21" ht="12.75"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</row>
    <row r="1339" spans="2:21" ht="12.75"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</row>
    <row r="1340" spans="2:21" ht="12.75"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</row>
    <row r="1341" spans="2:21" ht="12.75"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</row>
    <row r="1342" spans="2:21" ht="12.75"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</row>
    <row r="1343" spans="2:21" ht="12.75"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</row>
    <row r="1344" spans="2:21" ht="12.75"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</row>
    <row r="1345" spans="2:21" ht="12.75"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</row>
    <row r="1346" spans="2:21" ht="12.75"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</row>
    <row r="1347" spans="2:21" ht="12.75"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</row>
    <row r="1348" spans="2:21" ht="12.75"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</row>
    <row r="1349" spans="2:21" ht="12.75"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</row>
    <row r="1350" spans="2:21" ht="12.75"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</row>
    <row r="1351" spans="2:21" ht="12.75"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</row>
    <row r="1352" spans="2:21" ht="12.75"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</row>
    <row r="1353" spans="2:21" ht="12.75"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</row>
    <row r="1354" spans="2:21" ht="12.75"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</row>
    <row r="1355" spans="2:21" ht="12.75"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</row>
    <row r="1356" spans="2:21" ht="12.75"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</row>
    <row r="1357" spans="2:21" ht="12.75"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</row>
    <row r="1358" spans="2:21" ht="12.75"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</row>
    <row r="1359" spans="2:21" ht="12.75"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</row>
    <row r="1360" spans="2:21" ht="12.75"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</row>
    <row r="1361" spans="2:21" ht="12.75"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</row>
    <row r="1362" spans="2:21" ht="12.75"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</row>
    <row r="1363" spans="2:21" ht="12.75"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</row>
    <row r="1364" spans="2:21" ht="12.75"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</row>
    <row r="1365" spans="2:21" ht="12.75"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</row>
    <row r="1366" spans="2:21" ht="12.75"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</row>
    <row r="1367" spans="2:21" ht="12.75"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</row>
    <row r="1368" spans="2:21" ht="12.75"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</row>
    <row r="1369" spans="2:21" ht="12.75"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</row>
    <row r="1370" spans="2:21" ht="12.75"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</row>
    <row r="1371" spans="2:21" ht="12.75"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</row>
    <row r="1372" spans="2:21" ht="12.75"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</row>
    <row r="1373" spans="2:21" ht="12.75"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</row>
    <row r="1374" spans="2:21" ht="12.75"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</row>
    <row r="1375" spans="2:21" ht="12.75"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</row>
    <row r="1376" spans="2:21" ht="12.75"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</row>
    <row r="1377" spans="2:21" ht="12.75"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</row>
    <row r="1378" spans="2:21" ht="12.75"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</row>
    <row r="1379" spans="2:21" ht="12.75"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</row>
    <row r="1380" spans="2:21" ht="12.75"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</row>
    <row r="1381" spans="2:21" ht="12.75"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</row>
    <row r="1382" spans="2:21" ht="12.75"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</row>
    <row r="1383" spans="2:21" ht="12.75"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</row>
    <row r="1384" spans="2:21" ht="12.75"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</row>
    <row r="1385" spans="2:21" ht="12.75"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</row>
    <row r="1386" spans="2:21" ht="12.75"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</row>
    <row r="1387" spans="2:21" ht="12.75"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</row>
    <row r="1388" spans="2:21" ht="12.75"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</row>
    <row r="1389" spans="2:21" ht="12.75"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</row>
    <row r="1390" spans="2:21" ht="12.75"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</row>
    <row r="1391" spans="2:21" ht="12.75"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</row>
    <row r="1392" spans="2:21" ht="12.75"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</row>
    <row r="1393" spans="2:21" ht="12.75"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</row>
    <row r="1394" spans="2:21" ht="12.75"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</row>
    <row r="1395" spans="2:21" ht="12.75"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</row>
    <row r="1396" spans="2:21" ht="12.75"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</row>
    <row r="1397" spans="2:21" ht="12.75"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</row>
    <row r="1398" spans="2:21" ht="12.75"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</row>
    <row r="1399" spans="2:21" ht="12.75"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</row>
    <row r="1400" spans="2:21" ht="12.75"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</row>
    <row r="1401" spans="2:21" ht="12.75"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</row>
    <row r="1402" spans="2:21" ht="12.75"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</row>
    <row r="1403" spans="2:21" ht="12.75"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</row>
    <row r="1404" spans="2:21" ht="12.75"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</row>
    <row r="1405" spans="2:21" ht="12.75"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</row>
    <row r="1406" spans="2:21" ht="12.75"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</row>
    <row r="1407" spans="2:21" ht="12.75"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</row>
    <row r="1408" spans="2:21" ht="12.75"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</row>
    <row r="1409" spans="2:21" ht="12.75"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</row>
    <row r="1410" spans="2:21" ht="12.75"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</row>
    <row r="1411" spans="2:21" ht="12.75"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</row>
    <row r="1412" spans="2:21" ht="12.75"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</row>
    <row r="1413" spans="2:21" ht="12.75"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</row>
    <row r="1414" spans="2:21" ht="12.75"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</row>
    <row r="1415" spans="2:21" ht="12.75"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</row>
    <row r="1416" spans="2:21" ht="12.75"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</row>
    <row r="1417" spans="2:21" ht="12.75"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</row>
    <row r="1418" spans="2:21" ht="12.75"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</row>
    <row r="1419" spans="2:21" ht="12.75"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</row>
    <row r="1420" spans="2:21" ht="12.75"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</row>
    <row r="1421" spans="2:21" ht="12.75"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</row>
    <row r="1422" spans="2:21" ht="12.75"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</row>
    <row r="1423" spans="2:21" ht="12.75"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</row>
    <row r="1424" spans="2:21" ht="12.75"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</row>
    <row r="1425" spans="2:21" ht="12.75"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</row>
    <row r="1426" spans="2:21" ht="12.75"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</row>
    <row r="1427" spans="2:21" ht="12.75"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</row>
    <row r="1428" spans="2:21" ht="12.75"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</row>
    <row r="1429" spans="2:21" ht="12.75"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</row>
    <row r="1430" spans="2:21" ht="12.75"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</row>
    <row r="1431" spans="2:21" ht="12.75"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</row>
    <row r="1432" spans="2:21" ht="12.75"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</row>
    <row r="1433" spans="2:21" ht="12.75"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</row>
    <row r="1434" spans="2:21" ht="12.75"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</row>
    <row r="1435" spans="2:21" ht="12.75"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</row>
    <row r="1436" spans="2:21" ht="12.75"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</row>
    <row r="1437" spans="2:21" ht="12.75"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</row>
    <row r="1438" spans="2:21" ht="12.75"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</row>
    <row r="1439" spans="2:21" ht="12.75"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</row>
    <row r="1440" spans="2:21" ht="12.75"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</row>
    <row r="1441" spans="2:21" ht="12.75"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</row>
    <row r="1442" spans="2:21" ht="12.75"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</row>
    <row r="1443" spans="2:21" ht="12.75"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</row>
    <row r="1444" spans="2:21" ht="12.75"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</row>
    <row r="1445" spans="2:21" ht="12.75"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</row>
    <row r="1446" spans="2:21" ht="12.75"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</row>
    <row r="1447" spans="2:21" ht="12.75"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</row>
    <row r="1448" spans="2:21" ht="12.75"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</row>
    <row r="1449" spans="2:21" ht="12.75"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</row>
    <row r="1450" spans="2:21" ht="12.75"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</row>
    <row r="1451" spans="2:21" ht="12.75"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</row>
    <row r="1452" spans="2:21" ht="12.75"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</row>
    <row r="1453" spans="2:21" ht="12.75"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</row>
    <row r="1454" spans="2:21" ht="12.75"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</row>
    <row r="1455" spans="2:21" ht="12.75"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</row>
    <row r="1456" spans="2:21" ht="12.75"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</row>
    <row r="1457" spans="2:21" ht="12.75"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</row>
    <row r="1458" spans="2:21" ht="12.75"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</row>
    <row r="1459" spans="2:21" ht="12.75"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</row>
    <row r="1460" spans="2:21" ht="12.75"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</row>
    <row r="1461" spans="2:21" ht="12.75"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</row>
    <row r="1462" spans="2:21" ht="12.75"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</row>
    <row r="1463" spans="2:21" ht="12.75"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</row>
    <row r="1464" spans="2:21" ht="12.75"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</row>
    <row r="1465" spans="2:21" ht="12.75"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</row>
    <row r="1466" spans="2:21" ht="12.75"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</row>
    <row r="1467" spans="2:21" ht="12.75"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</row>
    <row r="1468" spans="2:21" ht="12.75"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</row>
    <row r="1469" spans="2:21" ht="12.75"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</row>
    <row r="1470" spans="2:21" ht="12.75"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</row>
    <row r="1471" spans="2:21" ht="12.75"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</row>
    <row r="1472" spans="2:21" ht="12.75"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</row>
    <row r="1473" spans="2:21" ht="12.75"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</row>
    <row r="1474" spans="2:21" ht="12.75"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</row>
    <row r="1475" spans="2:21" ht="12.75"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</row>
    <row r="1476" spans="2:21" ht="12.75"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</row>
    <row r="1477" spans="2:21" ht="12.75"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</row>
    <row r="1478" spans="2:21" ht="12.75"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</row>
    <row r="1479" spans="2:21" ht="12.75"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</row>
    <row r="1480" spans="2:21" ht="12.75"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</row>
    <row r="1481" spans="2:21" ht="12.75"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</row>
    <row r="1482" spans="2:21" ht="12.75"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</row>
    <row r="1483" spans="2:21" ht="12.75"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</row>
    <row r="1484" spans="2:21" ht="12.75"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</row>
    <row r="1485" spans="2:21" ht="12.75"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</row>
    <row r="1486" spans="2:21" ht="12.75"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</row>
    <row r="1487" spans="2:21" ht="12.75"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</row>
    <row r="1488" spans="2:21" ht="12.75"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</row>
    <row r="1489" spans="2:21" ht="12.75"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</row>
    <row r="1490" spans="2:21" ht="12.75"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</row>
    <row r="1491" spans="2:21" ht="12.75"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</row>
    <row r="1492" spans="2:21" ht="12.75"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</row>
    <row r="1493" spans="2:21" ht="12.75"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</row>
    <row r="1494" spans="2:21" ht="12.75"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</row>
    <row r="1495" spans="2:21" ht="12.75"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</row>
    <row r="1496" spans="2:21" ht="12.75"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</row>
    <row r="1497" spans="2:21" ht="12.75"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</row>
    <row r="1498" spans="2:21" ht="12.75"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</row>
    <row r="1499" spans="2:21" ht="12.75"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</row>
    <row r="1500" spans="2:21" ht="12.75"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</row>
    <row r="1501" spans="2:21" ht="12.75"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</row>
    <row r="1502" spans="2:21" ht="12.75"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</row>
    <row r="1503" spans="2:21" ht="12.75"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</row>
    <row r="1504" spans="2:21" ht="12.75"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</row>
    <row r="1505" spans="2:21" ht="12.75"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</row>
    <row r="1506" spans="2:21" ht="12.75"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</row>
    <row r="1507" spans="2:21" ht="12.75"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</row>
    <row r="1508" spans="2:21" ht="12.75"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</row>
    <row r="1509" spans="2:21" ht="12.75"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</row>
    <row r="1510" spans="2:21" ht="12.75"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</row>
    <row r="1511" spans="2:21" ht="12.75"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</row>
    <row r="1512" spans="2:21" ht="12.75"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</row>
    <row r="1513" spans="2:21" ht="12.75"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</row>
    <row r="1514" spans="2:21" ht="12.75"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</row>
    <row r="1515" spans="2:21" ht="12.75"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</row>
    <row r="1516" spans="2:21" ht="12.75"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</row>
    <row r="1517" spans="2:21" ht="12.75"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</row>
    <row r="1518" spans="2:21" ht="12.75"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</row>
    <row r="1519" spans="2:21" ht="12.75"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</row>
    <row r="1520" spans="2:21" ht="12.75"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</row>
    <row r="1521" spans="2:21" ht="12.75"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</row>
    <row r="1522" spans="2:21" ht="12.75"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</row>
    <row r="1523" spans="2:21" ht="12.75"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</row>
    <row r="1524" spans="2:21" ht="12.75"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</row>
    <row r="1525" spans="2:21" ht="12.75"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</row>
    <row r="1526" spans="2:21" ht="12.75"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</row>
    <row r="1527" spans="2:21" ht="12.75"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</row>
    <row r="1528" spans="2:21" ht="12.75"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</row>
    <row r="1529" spans="2:21" ht="12.75"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</row>
    <row r="1530" spans="2:21" ht="12.75"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</row>
    <row r="1531" spans="2:21" ht="12.75"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</row>
    <row r="1532" spans="2:21" ht="12.75"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</row>
    <row r="1533" spans="2:21" ht="12.75"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</row>
    <row r="1534" spans="2:21" ht="12.75"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</row>
    <row r="1535" spans="2:21" ht="12.75"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</row>
    <row r="1536" spans="2:21" ht="12.75"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</row>
    <row r="1537" spans="2:21" ht="12.75"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</row>
    <row r="1538" spans="2:21" ht="12.75"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</row>
    <row r="1539" spans="2:21" ht="12.75"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</row>
    <row r="1540" spans="2:21" ht="12.75"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</row>
    <row r="1541" spans="2:21" ht="12.75"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</row>
    <row r="1542" spans="2:21" ht="12.75"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</row>
    <row r="1543" spans="2:21" ht="12.75"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</row>
    <row r="1544" spans="2:21" ht="12.75"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</row>
    <row r="1545" spans="2:21" ht="12.75"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</row>
    <row r="1546" spans="2:21" ht="12.75"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</row>
    <row r="1547" spans="2:21" ht="12.75"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</row>
    <row r="1548" spans="2:21" ht="12.75"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</row>
    <row r="1549" spans="2:21" ht="12.75"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</row>
    <row r="1550" spans="2:21" ht="12.75"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</row>
    <row r="1551" spans="2:21" ht="12.75"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</row>
    <row r="1552" spans="2:21" ht="12.75"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</row>
    <row r="1553" spans="2:21" ht="12.75"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</row>
    <row r="1554" spans="2:21" ht="12.75"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</row>
    <row r="1555" spans="2:21" ht="12.75"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</row>
    <row r="1556" spans="2:21" ht="12.75"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</row>
    <row r="1557" spans="2:21" ht="12.75"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</row>
    <row r="1558" spans="2:21" ht="12.75"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</row>
    <row r="1559" spans="2:21" ht="12.75"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</row>
    <row r="1560" spans="2:21" ht="12.75"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</row>
    <row r="1561" spans="2:21" ht="12.75"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</row>
    <row r="1562" spans="2:21" ht="12.75"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</row>
    <row r="1563" spans="2:21" ht="12.75"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</row>
    <row r="1564" spans="2:21" ht="12.75"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</row>
    <row r="1565" spans="2:21" ht="12.75"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</row>
    <row r="1566" spans="2:21" ht="12.75"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</row>
    <row r="1567" spans="2:21" ht="12.75"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</row>
    <row r="1568" spans="2:21" ht="12.75"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</row>
    <row r="1569" spans="2:21" ht="12.75"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</row>
    <row r="1570" spans="2:21" ht="12.75"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</row>
    <row r="1571" spans="2:21" ht="12.75"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</row>
    <row r="1572" spans="2:21" ht="12.75"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</row>
    <row r="1573" spans="2:21" ht="12.75"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</row>
    <row r="1574" spans="2:21" ht="12.75"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</row>
    <row r="1575" spans="2:21" ht="12.75"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</row>
    <row r="1576" spans="2:21" ht="12.75"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</row>
    <row r="1577" spans="2:21" ht="12.75"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</row>
    <row r="1578" spans="2:21" ht="12.75"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</row>
    <row r="1579" spans="2:21" ht="12.75"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</row>
    <row r="1580" spans="2:21" ht="12.75"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</row>
    <row r="1581" spans="2:21" ht="12.75"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</row>
    <row r="1582" spans="2:21" ht="12.75"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</row>
    <row r="1583" spans="2:21" ht="12.75"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</row>
    <row r="1584" spans="2:21" ht="12.75"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</row>
    <row r="1585" spans="2:21" ht="12.75"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</row>
    <row r="1586" spans="2:21" ht="12.75"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</row>
    <row r="1587" spans="2:21" ht="12.75"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</row>
    <row r="1588" spans="2:21" ht="12.75"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</row>
    <row r="1589" spans="2:21" ht="12.75"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</row>
    <row r="1590" spans="2:21" ht="12.75"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</row>
    <row r="1591" spans="2:21" ht="12.75"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</row>
    <row r="1592" spans="2:21" ht="12.75"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</row>
    <row r="1593" spans="2:21" ht="12.75"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</row>
    <row r="1594" spans="2:21" ht="12.75"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</row>
    <row r="1595" spans="2:21" ht="12.75"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</row>
    <row r="1596" spans="2:21" ht="12.75"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</row>
    <row r="1597" spans="2:21" ht="12.75"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</row>
    <row r="1598" spans="2:21" ht="12.75"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</row>
    <row r="1599" spans="2:21" ht="12.75"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</row>
    <row r="1600" spans="2:21" ht="12.75"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</row>
    <row r="1601" spans="2:21" ht="12.75"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</row>
    <row r="1602" spans="2:21" ht="12.75"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</row>
    <row r="1603" spans="2:21" ht="12.75"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</row>
    <row r="1604" spans="2:21" ht="12.75"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</row>
    <row r="1605" spans="2:21" ht="12.75"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</row>
    <row r="1606" spans="2:21" ht="12.75"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</row>
    <row r="1607" spans="2:21" ht="12.75"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</row>
    <row r="1608" spans="2:21" ht="12.75"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</row>
    <row r="1609" spans="2:21" ht="12.75"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</row>
    <row r="1610" spans="2:21" ht="12.75"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</row>
    <row r="1611" spans="2:21" ht="12.75"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</row>
    <row r="1612" spans="2:21" ht="12.75"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</row>
    <row r="1613" spans="2:21" ht="12.75"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</row>
    <row r="1614" spans="2:21" ht="12.75"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</row>
    <row r="1615" spans="2:21" ht="12.75"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</row>
    <row r="1616" spans="2:21" ht="12.75"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</row>
    <row r="1617" spans="2:21" ht="12.75"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</row>
    <row r="1618" spans="2:21" ht="12.75"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</row>
    <row r="1619" spans="2:21" ht="12.75"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</row>
    <row r="1620" spans="2:21" ht="12.75"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</row>
    <row r="1621" spans="2:21" ht="12.75"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</row>
    <row r="1622" spans="2:21" ht="12.75"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</row>
    <row r="1623" spans="2:21" ht="12.75"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</row>
    <row r="1624" spans="2:21" ht="12.75"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</row>
    <row r="1625" spans="2:21" ht="12.75"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</row>
    <row r="1626" spans="2:21" ht="12.75"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</row>
    <row r="1627" spans="2:21" ht="12.75"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</row>
    <row r="1628" spans="2:21" ht="12.75"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</row>
    <row r="1629" spans="2:21" ht="12.75"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</row>
    <row r="1630" spans="2:21" ht="12.75"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</row>
    <row r="1631" spans="2:21" ht="12.75"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</row>
    <row r="1632" spans="2:21" ht="12.75"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</row>
    <row r="1633" spans="2:21" ht="12.75"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</row>
    <row r="1634" spans="2:21" ht="12.75"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</row>
    <row r="1635" spans="2:21" ht="12.75"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</row>
    <row r="1636" spans="2:21" ht="12.75"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</row>
    <row r="1637" spans="2:21" ht="12.75"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</row>
    <row r="1638" spans="2:21" ht="12.75"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</row>
    <row r="1639" spans="2:21" ht="12.75"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</row>
    <row r="1640" spans="2:21" ht="12.75"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</row>
    <row r="1641" spans="2:21" ht="12.75"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</row>
    <row r="1642" spans="2:21" ht="12.75"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</row>
    <row r="1643" spans="2:21" ht="12.75"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</row>
    <row r="1644" spans="2:21" ht="12.75"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</row>
    <row r="1645" spans="2:21" ht="12.75"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</row>
    <row r="1646" spans="2:21" ht="12.75"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</row>
    <row r="1647" spans="2:21" ht="12.75"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</row>
    <row r="1648" spans="2:21" ht="12.75"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</row>
    <row r="1649" spans="2:21" ht="12.75"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</row>
    <row r="1650" spans="2:21" ht="12.75"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</row>
    <row r="1651" spans="2:21" ht="12.75"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</row>
    <row r="1652" spans="2:21" ht="12.75"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</row>
    <row r="1653" spans="2:21" ht="12.75"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</row>
    <row r="1654" spans="2:21" ht="12.75"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</row>
    <row r="1655" spans="2:21" ht="12.75"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</row>
    <row r="1656" spans="2:21" ht="12.75"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</row>
    <row r="1657" spans="2:21" ht="12.75"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</row>
    <row r="1658" spans="2:21" ht="12.75"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</row>
    <row r="1659" spans="2:21" ht="12.75"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</row>
    <row r="1660" spans="2:21" ht="12.75"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</row>
    <row r="1661" spans="2:21" ht="12.75"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</row>
    <row r="1662" spans="2:21" ht="12.75"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</row>
    <row r="1663" spans="2:21" ht="12.75"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</row>
    <row r="1664" spans="2:21" ht="12.75"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</row>
    <row r="1665" spans="2:21" ht="12.75"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</row>
    <row r="1666" spans="2:21" ht="12.75"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</row>
    <row r="1667" spans="2:21" ht="12.75"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</row>
    <row r="1668" spans="2:21" ht="12.75"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</row>
    <row r="1669" spans="2:21" ht="12.75"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</row>
    <row r="1670" spans="2:21" ht="12.75"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</row>
    <row r="1671" spans="2:21" ht="12.75"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</row>
    <row r="1672" spans="2:21" ht="12.75"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</row>
    <row r="1673" spans="2:21" ht="12.75"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</row>
    <row r="1674" spans="2:21" ht="12.75"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</row>
    <row r="1675" spans="2:21" ht="12.75"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</row>
    <row r="1676" spans="2:21" ht="12.75"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</row>
    <row r="1677" spans="2:21" ht="12.75"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</row>
    <row r="1678" spans="2:21" ht="12.75"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</row>
    <row r="1679" spans="2:21" ht="12.75"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</row>
    <row r="1680" spans="2:21" ht="12.75"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</row>
    <row r="1681" spans="2:21" ht="12.75"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</row>
    <row r="1682" spans="2:21" ht="12.75"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</row>
    <row r="1683" spans="2:21" ht="12.75"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</row>
    <row r="1684" spans="2:21" ht="12.75"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</row>
    <row r="1685" spans="2:21" ht="12.75"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</row>
    <row r="1686" spans="2:21" ht="12.75"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</row>
    <row r="1687" spans="2:21" ht="12.75"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</row>
    <row r="1688" spans="2:21" ht="12.75"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</row>
    <row r="1689" spans="2:21" ht="12.75"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</row>
    <row r="1690" spans="2:21" ht="12.75"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</row>
    <row r="1691" spans="2:21" ht="12.75"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</row>
    <row r="1692" spans="2:21" ht="12.75"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</row>
    <row r="1693" spans="2:21" ht="12.75"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</row>
    <row r="1694" spans="2:21" ht="12.75"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</row>
    <row r="1695" spans="2:21" ht="12.75"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</row>
    <row r="1696" spans="2:21" ht="12.75"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</row>
    <row r="1697" spans="2:21" ht="12.75"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</row>
    <row r="1698" spans="2:21" ht="12.75"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</row>
    <row r="1699" spans="2:21" ht="12.75"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</row>
    <row r="1700" spans="2:21" ht="12.75"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</row>
    <row r="1701" spans="2:21" ht="12.75"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</row>
    <row r="1702" spans="2:21" ht="12.75"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</row>
    <row r="1703" spans="2:21" ht="12.75"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</row>
    <row r="1704" spans="2:21" ht="12.75"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</row>
    <row r="1705" spans="2:21" ht="12.75"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</row>
    <row r="1706" spans="2:21" ht="12.75"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</row>
    <row r="1707" spans="2:21" ht="12.75"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</row>
    <row r="1708" spans="2:21" ht="12.75"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</row>
    <row r="1709" spans="2:21" ht="12.75"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</row>
    <row r="1710" spans="2:21" ht="12.75"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</row>
    <row r="1711" spans="2:21" ht="12.75"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</row>
    <row r="1712" spans="2:21" ht="12.75"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</row>
    <row r="1713" spans="2:21" ht="12.75"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</row>
    <row r="1714" spans="2:21" ht="12.75"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</row>
    <row r="1715" spans="2:21" ht="12.75"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</row>
    <row r="1716" spans="2:21" ht="12.75"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</row>
    <row r="1717" spans="2:21" ht="12.75"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</row>
    <row r="1718" spans="2:21" ht="12.75"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</row>
    <row r="1719" spans="2:21" ht="12.75"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</row>
    <row r="1720" spans="2:21" ht="12.75"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</row>
    <row r="1721" spans="2:21" ht="12.75"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</row>
    <row r="1722" spans="2:21" ht="12.75"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</row>
    <row r="1723" spans="2:21" ht="12.75"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</row>
    <row r="1724" spans="2:21" ht="12.75"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</row>
    <row r="1725" spans="2:21" ht="12.75"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</row>
    <row r="1726" spans="2:21" ht="12.75"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</row>
    <row r="1727" spans="2:21" ht="12.75"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</row>
    <row r="1728" spans="2:21" ht="12.75"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</row>
    <row r="1729" spans="2:21" ht="12.75"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</row>
    <row r="1730" spans="2:21" ht="12.75"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</row>
    <row r="1731" spans="2:21" ht="12.75"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</row>
    <row r="1732" spans="2:21" ht="12.75"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</row>
    <row r="1733" spans="2:21" ht="12.75"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</row>
    <row r="1734" spans="2:21" ht="12.75"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</row>
    <row r="1735" spans="2:21" ht="12.75"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</row>
    <row r="1736" spans="2:21" ht="12.75"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</row>
    <row r="1737" spans="2:21" ht="12.75"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</row>
    <row r="1738" spans="2:21" ht="12.75"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</row>
    <row r="1739" spans="2:21" ht="12.75"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</row>
    <row r="1740" spans="2:21" ht="12.75"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</row>
    <row r="1741" spans="2:21" ht="12.75"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</row>
    <row r="1742" spans="2:21" ht="12.75"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</row>
    <row r="1743" spans="2:21" ht="12.75"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</row>
    <row r="1744" spans="2:21" ht="12.75"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</row>
    <row r="1745" spans="2:21" ht="12.75"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</row>
    <row r="1746" spans="2:21" ht="12.75"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</row>
    <row r="1747" spans="2:21" ht="12.75"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</row>
    <row r="1748" spans="2:21" ht="12.75"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</row>
    <row r="1749" spans="2:21" ht="12.75"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</row>
    <row r="1750" spans="2:21" ht="12.75"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</row>
    <row r="1751" spans="2:21" ht="12.75"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</row>
    <row r="1752" spans="2:21" ht="12.75"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</row>
    <row r="1753" spans="2:21" ht="12.75"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</row>
    <row r="1754" spans="2:21" ht="12.75"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</row>
    <row r="1755" spans="2:21" ht="12.75"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</row>
    <row r="1756" spans="2:21" ht="12.75"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</row>
    <row r="1757" spans="2:21" ht="12.75"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</row>
    <row r="1758" spans="2:21" ht="12.75"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</row>
    <row r="1759" spans="2:21" ht="12.75"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</row>
    <row r="1760" spans="2:21" ht="12.75"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</row>
    <row r="1761" spans="2:21" ht="12.75"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</row>
    <row r="1762" spans="2:21" ht="12.75"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</row>
    <row r="1763" spans="2:21" ht="12.75"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</row>
    <row r="1764" spans="2:21" ht="12.75"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</row>
    <row r="1765" spans="2:21" ht="12.75"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</row>
    <row r="1766" spans="2:21" ht="12.75"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</row>
    <row r="1767" spans="2:21" ht="12.75"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</row>
    <row r="1768" spans="2:21" ht="12.75"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</row>
    <row r="1769" spans="2:21" ht="12.75"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</row>
    <row r="1770" spans="2:21" ht="12.75"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</row>
    <row r="1771" spans="2:21" ht="12.75"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</row>
    <row r="1772" spans="2:21" ht="12.75"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</row>
    <row r="1773" spans="2:21" ht="12.75"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</row>
    <row r="1774" spans="2:21" ht="12.75"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</row>
    <row r="1775" spans="2:21" ht="12.75"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</row>
    <row r="1776" spans="2:21" ht="12.75"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</row>
    <row r="1777" spans="2:21" ht="12.75"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</row>
    <row r="1778" spans="2:21" ht="12.75"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</row>
    <row r="1779" spans="2:21" ht="12.75"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</row>
    <row r="1780" spans="2:21" ht="12.75"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</row>
    <row r="1781" spans="2:21" ht="12.75"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</row>
    <row r="1782" spans="2:21" ht="12.75"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</row>
    <row r="1783" spans="2:21" ht="12.75"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</row>
    <row r="1784" spans="2:21" ht="12.75"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</row>
    <row r="1785" spans="2:21" ht="12.75"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</row>
    <row r="1786" spans="2:21" ht="12.75"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</row>
    <row r="1787" spans="2:21" ht="12.75"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</row>
    <row r="1788" spans="2:21" ht="12.75"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</row>
    <row r="1789" spans="2:21" ht="12.75"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</row>
    <row r="1790" spans="2:21" ht="12.75"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</row>
    <row r="1791" spans="2:21" ht="12.75"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</row>
    <row r="1792" spans="2:21" ht="12.75"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</row>
    <row r="1793" spans="2:21" ht="12.75"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</row>
    <row r="1794" spans="2:21" ht="12.75"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</row>
    <row r="1795" spans="2:21" ht="12.75"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</row>
    <row r="1796" spans="2:21" ht="12.75"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</row>
    <row r="1797" spans="2:21" ht="12.75"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</row>
    <row r="1798" spans="2:21" ht="12.75"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</row>
    <row r="1799" spans="2:21" ht="12.75"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</row>
    <row r="1800" spans="2:21" ht="12.75"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</row>
    <row r="1801" spans="2:21" ht="12.75"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</row>
    <row r="1802" spans="2:21" ht="12.75"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</row>
    <row r="1803" spans="2:21" ht="12.75"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</row>
    <row r="1804" spans="2:21" ht="12.75"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</row>
    <row r="1805" spans="2:21" ht="12.75"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</row>
    <row r="1806" spans="2:21" ht="12.75"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</row>
    <row r="1807" spans="2:21" ht="12.75"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</row>
    <row r="1808" spans="2:21" ht="12.75"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</row>
    <row r="1809" spans="2:21" ht="12.75"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</row>
    <row r="1810" spans="2:21" ht="12.75"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</row>
    <row r="1811" spans="2:21" ht="12.75"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</row>
    <row r="1812" spans="2:21" ht="12.75"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</row>
    <row r="1813" spans="2:21" ht="12.75"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</row>
    <row r="1814" spans="2:21" ht="12.75"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</row>
    <row r="1815" spans="2:21" ht="12.75"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</row>
    <row r="1816" spans="2:21" ht="12.75"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</row>
    <row r="1817" spans="2:21" ht="12.75"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</row>
    <row r="1818" spans="2:21" ht="12.75"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</row>
    <row r="1819" spans="2:21" ht="12.75"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</row>
    <row r="1820" spans="2:21" ht="12.75"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</row>
    <row r="1821" spans="2:21" ht="12.75"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</row>
    <row r="1822" spans="2:21" ht="12.75"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</row>
    <row r="1823" spans="2:21" ht="12.75"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</row>
    <row r="1824" spans="2:21" ht="12.75"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</row>
    <row r="1825" spans="2:21" ht="12.75"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</row>
    <row r="1826" spans="2:21" ht="12.75"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</row>
    <row r="1827" spans="2:21" ht="12.75"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</row>
    <row r="1828" spans="2:21" ht="12.75"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</row>
    <row r="1829" spans="2:21" ht="12.75"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</row>
    <row r="1830" spans="2:21" ht="12.75"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</row>
    <row r="1831" spans="2:21" ht="12.75"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</row>
    <row r="1832" spans="2:21" ht="12.75"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</row>
    <row r="1833" spans="2:21" ht="12.75"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</row>
    <row r="1834" spans="2:21" ht="12.75"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</row>
    <row r="1835" spans="2:21" ht="12.75"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</row>
    <row r="1836" spans="2:21" ht="12.75"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</row>
    <row r="1837" spans="2:21" ht="12.75"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</row>
    <row r="1838" spans="2:21" ht="12.75"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</row>
    <row r="1839" spans="2:21" ht="12.75"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</row>
    <row r="1840" spans="2:21" ht="12.75"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</row>
    <row r="1841" spans="2:21" ht="12.75"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</row>
    <row r="1842" spans="2:21" ht="12.75"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</row>
    <row r="1843" spans="2:21" ht="12.75"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</row>
    <row r="1844" spans="2:21" ht="12.75"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</row>
    <row r="1845" spans="2:21" ht="12.75"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</row>
    <row r="1846" spans="2:21" ht="12.75"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</row>
    <row r="1847" spans="2:21" ht="12.75"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</row>
    <row r="1848" spans="2:21" ht="12.75"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</row>
    <row r="1849" spans="2:21" ht="12.75"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</row>
    <row r="1850" spans="2:21" ht="12.75"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</row>
    <row r="1851" spans="2:21" ht="12.75"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</row>
    <row r="1852" spans="2:21" ht="12.75"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</row>
    <row r="1853" spans="2:21" ht="12.75"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</row>
    <row r="1854" spans="2:21" ht="12.75"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</row>
    <row r="1855" spans="2:21" ht="12.75"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</row>
    <row r="1856" spans="2:21" ht="12.75"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</row>
    <row r="1857" spans="2:21" ht="12.75"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</row>
    <row r="1858" spans="2:21" ht="12.75"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</row>
    <row r="1859" spans="2:21" ht="12.75"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</row>
    <row r="1860" spans="2:21" ht="12.75"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</row>
    <row r="1861" spans="2:21" ht="12.75"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</row>
    <row r="1862" spans="2:21" ht="12.75"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</row>
    <row r="1863" spans="2:21" ht="12.75"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</row>
    <row r="1864" spans="2:21" ht="12.75"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</row>
    <row r="1865" spans="2:21" ht="12.75"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</row>
    <row r="1866" spans="2:21" ht="12.75"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</row>
    <row r="1867" spans="2:21" ht="12.75"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</row>
    <row r="1868" spans="2:21" ht="12.75"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</row>
    <row r="1869" spans="2:21" ht="12.75"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</row>
    <row r="1870" spans="2:21" ht="12.75"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</row>
    <row r="1871" spans="2:21" ht="12.75"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</row>
    <row r="1872" spans="2:21" ht="12.75"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</row>
    <row r="1873" spans="2:21" ht="12.75"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</row>
    <row r="1874" spans="2:21" ht="12.75"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</row>
    <row r="1875" spans="2:21" ht="12.75"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</row>
    <row r="1876" spans="2:21" ht="12.75"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</row>
    <row r="1877" spans="2:21" ht="12.75"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</row>
    <row r="1878" spans="2:21" ht="12.75"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</row>
    <row r="1879" spans="2:21" ht="12.75"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</row>
    <row r="1880" spans="2:21" ht="12.75"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</row>
    <row r="1881" spans="2:21" ht="12.75"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</row>
    <row r="1882" spans="2:21" ht="12.75"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</row>
    <row r="1883" spans="2:21" ht="12.75"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</row>
    <row r="1884" spans="2:21" ht="12.75"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</row>
    <row r="1885" spans="2:21" ht="12.75"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</row>
    <row r="1886" spans="2:21" ht="12.75"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</row>
    <row r="1887" spans="2:21" ht="12.75"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</row>
    <row r="1888" spans="2:21" ht="12.75"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</row>
    <row r="1889" spans="2:21" ht="12.75"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</row>
    <row r="1890" spans="2:21" ht="12.75"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</row>
    <row r="1891" spans="2:21" ht="12.75"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</row>
    <row r="1892" spans="2:21" ht="12.75"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</row>
    <row r="1893" spans="2:21" ht="12.75"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</row>
    <row r="1894" spans="2:21" ht="12.75"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</row>
    <row r="1895" spans="2:21" ht="12.75"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</row>
    <row r="1896" spans="2:21" ht="12.75"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</row>
    <row r="1897" spans="2:21" ht="12.75"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</row>
    <row r="1898" spans="2:21" ht="12.75"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</row>
    <row r="1899" spans="2:21" ht="12.75"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</row>
    <row r="1900" spans="2:21" ht="12.75"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</row>
    <row r="1901" spans="2:21" ht="12.75"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</row>
    <row r="1902" spans="2:21" ht="12.75"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</row>
    <row r="1903" spans="2:21" ht="12.75"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</row>
    <row r="1904" spans="2:21" ht="12.75"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</row>
    <row r="1905" spans="2:21" ht="12.75"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</row>
    <row r="1906" spans="2:21" ht="12.75"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</row>
    <row r="1907" spans="2:21" ht="12.75"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</row>
    <row r="1908" spans="2:21" ht="12.75"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</row>
    <row r="1909" spans="2:21" ht="12.75"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</row>
    <row r="1910" spans="2:21" ht="12.75"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</row>
    <row r="1911" spans="2:21" ht="12.75"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</row>
    <row r="1912" spans="2:21" ht="12.75"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</row>
    <row r="1913" spans="2:21" ht="12.75"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</row>
    <row r="1914" spans="2:21" ht="12.75"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</row>
    <row r="1915" spans="2:21" ht="12.75"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</row>
    <row r="1916" spans="2:21" ht="12.75"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</row>
    <row r="1917" spans="2:21" ht="12.75"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</row>
    <row r="1918" spans="2:21" ht="12.75"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</row>
    <row r="1919" spans="2:21" ht="12.75"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</row>
    <row r="1920" spans="2:21" ht="12.75"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</row>
    <row r="1921" spans="2:21" ht="12.75"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</row>
    <row r="1922" spans="2:21" ht="12.75"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</row>
    <row r="1923" spans="2:21" ht="12.75"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</row>
    <row r="1924" spans="2:21" ht="12.75"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</row>
    <row r="1925" spans="2:21" ht="12.75"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</row>
    <row r="1926" spans="2:21" ht="12.75"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</row>
    <row r="1927" spans="2:21" ht="12.75"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</row>
    <row r="1928" spans="2:21" ht="12.75"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</row>
    <row r="1929" spans="2:21" ht="12.75"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</row>
    <row r="1930" spans="2:21" ht="12.75"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</row>
    <row r="1931" spans="2:21" ht="12.75"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</row>
    <row r="1932" spans="2:21" ht="12.75"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</row>
    <row r="1933" spans="2:21" ht="12.75"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</row>
    <row r="1934" spans="2:21" ht="12.75"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</row>
    <row r="1935" spans="2:21" ht="12.75"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</row>
    <row r="1936" spans="2:21" ht="12.75"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</row>
    <row r="1937" spans="2:21" ht="12.75"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</row>
    <row r="1938" spans="2:21" ht="12.75"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</row>
    <row r="1939" spans="2:21" ht="12.75"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</row>
    <row r="1940" spans="2:21" ht="12.75"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</row>
    <row r="1941" spans="2:21" ht="12.75"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</row>
    <row r="1942" spans="2:21" ht="12.75"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</row>
    <row r="1943" spans="2:21" ht="12.75"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</row>
    <row r="1944" spans="2:21" ht="12.75"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</row>
    <row r="1945" spans="2:21" ht="12.75"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</row>
    <row r="1946" spans="2:21" ht="12.75"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</row>
    <row r="1947" spans="2:21" ht="12.75"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</row>
    <row r="1948" spans="2:21" ht="12.75"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</row>
    <row r="1949" spans="2:21" ht="12.75"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</row>
    <row r="1950" spans="2:21" ht="12.75"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</row>
    <row r="1951" spans="2:21" ht="12.75"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</row>
    <row r="1952" spans="2:21" ht="12.75"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</row>
    <row r="1953" spans="2:21" ht="12.75"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</row>
    <row r="1954" spans="2:21" ht="12.75"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</row>
    <row r="1955" spans="2:21" ht="12.75"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</row>
    <row r="1956" spans="2:21" ht="12.75"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</row>
    <row r="1957" spans="2:21" ht="12.75"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</row>
    <row r="1958" spans="2:21" ht="12.75"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</row>
    <row r="1959" spans="2:21" ht="12.75"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</row>
    <row r="1960" spans="2:21" ht="12.75"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</row>
    <row r="1961" spans="2:21" ht="12.75"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</row>
    <row r="1962" spans="2:21" ht="12.75"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</row>
    <row r="1963" spans="2:21" ht="12.75"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</row>
    <row r="1964" spans="2:21" ht="12.75"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</row>
    <row r="1965" spans="2:21" ht="12.75"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</row>
    <row r="1966" spans="2:21" ht="12.75"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</row>
    <row r="1967" spans="2:21" ht="12.75"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</row>
    <row r="1968" spans="2:21" ht="12.75"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</row>
    <row r="1969" spans="2:21" ht="12.75"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</row>
    <row r="1970" spans="2:21" ht="12.75"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</row>
    <row r="1971" spans="2:21" ht="12.75"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</row>
    <row r="1972" spans="2:21" ht="12.75"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</row>
    <row r="1973" spans="2:21" ht="12.75"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</row>
    <row r="1974" spans="2:21" ht="12.75"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</row>
    <row r="1975" spans="2:21" ht="12.75"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</row>
    <row r="1976" spans="2:21" ht="12.75"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</row>
    <row r="1977" spans="2:21" ht="12.75"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</row>
    <row r="1978" spans="2:21" ht="12.75"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</row>
    <row r="1979" spans="2:21" ht="12.75"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</row>
    <row r="1980" spans="2:21" ht="12.75"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</row>
    <row r="1981" spans="2:21" ht="12.75"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</row>
    <row r="1982" spans="2:21" ht="12.75"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</row>
    <row r="1983" spans="2:21" ht="12.75"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</row>
    <row r="1984" spans="2:21" ht="12.75"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</row>
    <row r="1985" spans="2:21" ht="12.75"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</row>
    <row r="1986" spans="2:21" ht="12.75"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</row>
    <row r="1987" spans="2:21" ht="12.75"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</row>
    <row r="1988" spans="2:21" ht="12.75"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</row>
    <row r="1989" spans="2:21" ht="12.75"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</row>
    <row r="1990" spans="2:21" ht="12.75"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</row>
    <row r="1991" spans="2:21" ht="12.75"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</row>
    <row r="1992" spans="2:21" ht="12.75"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</row>
    <row r="1993" spans="2:21" ht="12.75"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</row>
    <row r="1994" spans="2:21" ht="12.75"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</row>
    <row r="1995" spans="2:21" ht="12.75"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</row>
    <row r="1996" spans="2:21" ht="12.75"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</row>
    <row r="1997" spans="2:21" ht="12.75"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</row>
    <row r="1998" spans="2:21" ht="12.75"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</row>
    <row r="1999" spans="2:21" ht="12.75"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</row>
    <row r="2000" spans="2:21" ht="12.75"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</row>
    <row r="2001" spans="2:21" ht="12.75"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</row>
    <row r="2002" spans="2:21" ht="12.75"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</row>
    <row r="2003" spans="2:21" ht="12.75"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</row>
    <row r="2004" spans="2:21" ht="12.75"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</row>
    <row r="2005" spans="2:21" ht="12.75"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</row>
    <row r="2006" spans="2:21" ht="12.75"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</row>
    <row r="2007" spans="2:21" ht="12.75"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</row>
    <row r="2008" spans="2:21" ht="12.75"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</row>
    <row r="2009" spans="2:21" ht="12.75"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</row>
    <row r="2010" spans="2:21" ht="12.75"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</row>
    <row r="2011" spans="2:21" ht="12.75"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</row>
    <row r="2012" spans="2:21" ht="12.75"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</row>
    <row r="2013" spans="2:21" ht="12.75"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</row>
    <row r="2014" spans="2:21" ht="12.75"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</row>
    <row r="2015" spans="2:21" ht="12.75"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</row>
    <row r="2016" spans="2:21" ht="12.75"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</row>
    <row r="2017" spans="2:21" ht="12.75"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</row>
    <row r="2018" spans="2:21" ht="12.75"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</row>
    <row r="2019" spans="2:21" ht="12.75"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</row>
    <row r="2020" spans="2:21" ht="12.75"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</row>
    <row r="2021" spans="2:21" ht="12.75"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</row>
    <row r="2022" spans="2:21" ht="12.75"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</row>
    <row r="2023" spans="2:21" ht="12.75"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</row>
    <row r="2024" spans="2:21" ht="12.75"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</row>
    <row r="2025" spans="2:21" ht="12.75"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</row>
    <row r="2026" spans="2:21" ht="12.75"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</row>
    <row r="2027" spans="2:21" ht="12.75"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</row>
    <row r="2028" spans="2:21" ht="12.75"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</row>
    <row r="2029" spans="2:21" ht="12.75"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</row>
    <row r="2030" spans="2:21" ht="12.75"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</row>
    <row r="2031" spans="2:21" ht="12.75"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</row>
    <row r="2032" spans="2:21" ht="12.75"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</row>
    <row r="2033" spans="2:21" ht="12.75"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</row>
    <row r="2034" spans="2:21" ht="12.75"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</row>
    <row r="2035" spans="2:21" ht="12.75"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</row>
    <row r="2036" spans="2:21" ht="12.75"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</row>
    <row r="2037" spans="2:21" ht="12.75"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</row>
    <row r="2038" spans="2:21" ht="12.75"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</row>
    <row r="2039" spans="2:21" ht="12.75"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</row>
    <row r="2040" spans="2:21" ht="12.75"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</row>
    <row r="2041" spans="2:21" ht="12.75"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</row>
    <row r="2042" spans="2:21" ht="12.75"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</row>
    <row r="2043" spans="2:21" ht="12.75"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</row>
    <row r="2044" spans="2:21" ht="12.75"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</row>
    <row r="2045" spans="2:21" ht="12.75"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</row>
    <row r="2046" spans="2:21" ht="12.75"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</row>
    <row r="2047" spans="2:21" ht="12.75"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</row>
    <row r="2048" spans="2:21" ht="12.75"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</row>
    <row r="2049" spans="2:21" ht="12.75"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</row>
    <row r="2050" spans="2:21" ht="12.75"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</row>
    <row r="2051" spans="2:21" ht="12.75"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</row>
    <row r="2052" spans="2:21" ht="12.75"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</row>
    <row r="2053" spans="2:21" ht="12.75"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</row>
    <row r="2054" spans="2:21" ht="12.75"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  <c r="U2054"/>
    </row>
    <row r="2055" spans="2:21" ht="12.75"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</row>
    <row r="2056" spans="2:21" ht="12.75"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</row>
    <row r="2057" spans="2:21" ht="12.75"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</row>
    <row r="2058" spans="2:21" ht="12.75"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</row>
    <row r="2059" spans="2:21" ht="12.75"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</row>
    <row r="2060" spans="2:21" ht="12.75"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</row>
    <row r="2061" spans="2:21" ht="12.75"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</row>
    <row r="2062" spans="2:21" ht="12.75"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</row>
    <row r="2063" spans="2:21" ht="12.75"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</row>
    <row r="2064" spans="2:21" ht="12.75"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</row>
    <row r="2065" spans="2:21" ht="12.75"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</row>
    <row r="2066" spans="2:21" ht="12.75"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</row>
    <row r="2067" spans="2:21" ht="12.75"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</row>
    <row r="2068" spans="2:21" ht="12.75"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</row>
    <row r="2069" spans="2:21" ht="12.75"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</row>
    <row r="2070" spans="2:21" ht="12.75"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</row>
    <row r="2071" spans="2:21" ht="12.75"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</row>
    <row r="2072" spans="2:21" ht="12.75"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</row>
    <row r="2073" spans="2:21" ht="12.75"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</row>
    <row r="2074" spans="2:21" ht="12.75"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</row>
    <row r="2075" spans="2:21" ht="12.75"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</row>
    <row r="2076" spans="2:21" ht="12.75"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</row>
    <row r="2077" spans="2:21" ht="12.75"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</row>
    <row r="2078" spans="2:21" ht="12.75"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</row>
    <row r="2079" spans="2:21" ht="12.75"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</row>
    <row r="2080" spans="2:21" ht="12.75"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</row>
    <row r="2081" spans="2:21" ht="12.75"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</row>
    <row r="2082" spans="2:21" ht="12.75"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</row>
    <row r="2083" spans="2:21" ht="12.75"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</row>
    <row r="2084" spans="2:21" ht="12.75"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</row>
    <row r="2085" spans="2:21" ht="12.75"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</row>
    <row r="2086" spans="2:21" ht="12.75"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</row>
    <row r="2087" spans="2:21" ht="12.75"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</row>
    <row r="2088" spans="2:21" ht="12.75"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</row>
    <row r="2089" spans="2:21" ht="12.75"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</row>
    <row r="2090" spans="2:21" ht="12.75"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</row>
    <row r="2091" spans="2:21" ht="12.75"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</row>
    <row r="2092" spans="2:21" ht="12.75"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</row>
  </sheetData>
  <conditionalFormatting sqref="C7:C19">
    <cfRule type="expression" priority="1" dxfId="0" stopIfTrue="1">
      <formula>AB7</formula>
    </cfRule>
  </conditionalFormatting>
  <conditionalFormatting sqref="K18:P18">
    <cfRule type="cellIs" priority="2" dxfId="0" operator="lessThan" stopIfTrue="1">
      <formula>-0.00000001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Tangedahl</dc:creator>
  <cp:keywords/>
  <dc:description/>
  <cp:lastModifiedBy>ltang</cp:lastModifiedBy>
  <cp:lastPrinted>2001-03-22T02:24:33Z</cp:lastPrinted>
  <dcterms:created xsi:type="dcterms:W3CDTF">1998-02-19T20:23:17Z</dcterms:created>
  <dcterms:modified xsi:type="dcterms:W3CDTF">2001-04-04T18:56:09Z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