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activeTab="0"/>
  </bookViews>
  <sheets>
    <sheet name="Chapter 19" sheetId="1" r:id="rId1"/>
    <sheet name="Single Channel" sheetId="2" r:id="rId2"/>
    <sheet name="Multiple Channel" sheetId="3" r:id="rId3"/>
    <sheet name="Multiple Priorities" sheetId="4" r:id="rId4"/>
    <sheet name="Finite Source" sheetId="5" r:id="rId5"/>
    <sheet name="Examples" sheetId="6" r:id="rId6"/>
    <sheet name="Solved Problems" sheetId="7" r:id="rId7"/>
  </sheets>
  <externalReferences>
    <externalReference r:id="rId10"/>
    <externalReference r:id="rId11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counter11a">'Single Channel'!$D$2</definedName>
    <definedName name="counter11b">'Single Channel'!$D$5</definedName>
    <definedName name="counter14a">'Multiple Channel'!$C$2</definedName>
    <definedName name="counter14b">'Multiple Channel'!$H$2</definedName>
    <definedName name="counter14c">'Multiple Channel'!$D$6:$I$6</definedName>
    <definedName name="counter16">'Multiple Priorities'!$C$2</definedName>
    <definedName name="increment11a">'Single Channel'!$D$3</definedName>
    <definedName name="increment11b">'Single Channel'!$D$6</definedName>
    <definedName name="increment14a">'Multiple Channel'!$C$3</definedName>
    <definedName name="increment14b">'Multiple Channel'!$H$3</definedName>
    <definedName name="increment16">'Multiple Priorities'!$C$3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_xlnm.Print_Area" localSheetId="2">'Multiple Channel'!$A$1:$J$23</definedName>
    <definedName name="_xlnm.Print_Area" localSheetId="3">'Multiple Priorities'!$A$1:$I$23</definedName>
  </definedNames>
  <calcPr fullCalcOnLoad="1"/>
</workbook>
</file>

<file path=xl/sharedStrings.xml><?xml version="1.0" encoding="utf-8"?>
<sst xmlns="http://schemas.openxmlformats.org/spreadsheetml/2006/main" count="391" uniqueCount="106">
  <si>
    <t>lamda =</t>
  </si>
  <si>
    <t>mu =</t>
  </si>
  <si>
    <t>Average number in line</t>
  </si>
  <si>
    <t>Average number in system</t>
  </si>
  <si>
    <t>Average time in line</t>
  </si>
  <si>
    <t>Average time in system</t>
  </si>
  <si>
    <t>System Utilization</t>
  </si>
  <si>
    <t>Number of servers</t>
  </si>
  <si>
    <t>M =</t>
  </si>
  <si>
    <t>Average waiting time</t>
  </si>
  <si>
    <t>Calculations:</t>
  </si>
  <si>
    <t xml:space="preserve">M </t>
  </si>
  <si>
    <t xml:space="preserve">P0 </t>
  </si>
  <si>
    <t>W =</t>
  </si>
  <si>
    <t>Population Size</t>
  </si>
  <si>
    <t>N =</t>
  </si>
  <si>
    <t>Average service time</t>
  </si>
  <si>
    <t>T =</t>
  </si>
  <si>
    <t>Average time between service calls</t>
  </si>
  <si>
    <t>U =</t>
  </si>
  <si>
    <t>Service factor</t>
  </si>
  <si>
    <t>P(wait) - from table</t>
  </si>
  <si>
    <t>D =</t>
  </si>
  <si>
    <t>Efficiency factor - from table</t>
  </si>
  <si>
    <t>F =</t>
  </si>
  <si>
    <t>Average number waiting</t>
  </si>
  <si>
    <t>L =</t>
  </si>
  <si>
    <t>Average number running</t>
  </si>
  <si>
    <t>J =</t>
  </si>
  <si>
    <t>Average number being serviced</t>
  </si>
  <si>
    <t>H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</si>
  <si>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</si>
  <si>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</si>
  <si>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</si>
  <si>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</si>
  <si>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</si>
  <si>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</si>
  <si>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10"/>
        <rFont val="Arial"/>
        <family val="2"/>
      </rPr>
      <t xml:space="preserve"> =</t>
    </r>
  </si>
  <si>
    <t>Service rate</t>
  </si>
  <si>
    <t>Arrival rate</t>
  </si>
  <si>
    <t xml:space="preserve">n = </t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</si>
  <si>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</si>
  <si>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</si>
  <si>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W</t>
    </r>
    <r>
      <rPr>
        <b/>
        <vertAlign val="subscript"/>
        <sz val="10"/>
        <rFont val="Arial"/>
        <family val="2"/>
      </rPr>
      <t>q</t>
    </r>
  </si>
  <si>
    <r>
      <t>W</t>
    </r>
    <r>
      <rPr>
        <b/>
        <vertAlign val="subscript"/>
        <sz val="10"/>
        <rFont val="Arial"/>
        <family val="2"/>
      </rPr>
      <t>s</t>
    </r>
  </si>
  <si>
    <t>Service</t>
  </si>
  <si>
    <t>Time</t>
  </si>
  <si>
    <t>Constant</t>
  </si>
  <si>
    <t>Single Channel Waiting Line Model</t>
  </si>
  <si>
    <t>Interarrival Time</t>
  </si>
  <si>
    <t>Service time</t>
  </si>
  <si>
    <t>Probability system is empty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</si>
  <si>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</si>
  <si>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t>Exponential</t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</si>
  <si>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</si>
  <si>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Multiple Channel Waiting Line Model</t>
  </si>
  <si>
    <t>Probability arrival must wait</t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</si>
  <si>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</si>
  <si>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 xml:space="preserve">Arrival rate                     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</t>
    </r>
  </si>
  <si>
    <r>
      <t xml:space="preserve">Service rate       </t>
    </r>
    <r>
      <rPr>
        <b/>
        <sz val="10"/>
        <rFont val="Symbol"/>
        <family val="1"/>
      </rPr>
      <t xml:space="preserve">  m</t>
    </r>
    <r>
      <rPr>
        <b/>
        <sz val="10"/>
        <rFont val="Arial"/>
        <family val="2"/>
      </rPr>
      <t xml:space="preserve"> =</t>
    </r>
  </si>
  <si>
    <r>
      <t>Service time     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</si>
  <si>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t>Number of servers (max 12)</t>
  </si>
  <si>
    <r>
      <t>Interarrival Time          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</si>
  <si>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 xml:space="preserve"> m</t>
    </r>
    <r>
      <rPr>
        <b/>
        <sz val="10"/>
        <rFont val="Arial"/>
        <family val="2"/>
      </rPr>
      <t xml:space="preserve"> =</t>
    </r>
  </si>
  <si>
    <r>
      <t xml:space="preserve">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</t>
    </r>
  </si>
  <si>
    <t>Multiple Priorities Waiting Line Model</t>
  </si>
  <si>
    <t>System</t>
  </si>
  <si>
    <t>Class</t>
  </si>
  <si>
    <t xml:space="preserve">Number of servers       M = </t>
  </si>
  <si>
    <t>Finite Source Waiting Line Model</t>
  </si>
  <si>
    <r>
      <t>c</t>
    </r>
    <r>
      <rPr>
        <b/>
        <sz val="10"/>
        <rFont val="Arial"/>
        <family val="2"/>
      </rPr>
      <t xml:space="preserve"> =</t>
    </r>
  </si>
  <si>
    <r>
      <t>Dl</t>
    </r>
    <r>
      <rPr>
        <b/>
        <sz val="10"/>
        <rFont val="Arial"/>
        <family val="2"/>
      </rPr>
      <t xml:space="preserve"> = </t>
    </r>
  </si>
  <si>
    <r>
      <t>Dm</t>
    </r>
    <r>
      <rPr>
        <b/>
        <sz val="10"/>
        <rFont val="Arial"/>
        <family val="2"/>
      </rPr>
      <t xml:space="preserve"> = </t>
    </r>
  </si>
  <si>
    <t xml:space="preserve">    Increment</t>
  </si>
  <si>
    <r>
      <t xml:space="preserve">    Increment    </t>
    </r>
    <r>
      <rPr>
        <b/>
        <sz val="10"/>
        <rFont val="Symbol"/>
        <family val="1"/>
      </rPr>
      <t>Dm</t>
    </r>
    <r>
      <rPr>
        <b/>
        <sz val="10"/>
        <rFont val="Arial"/>
        <family val="2"/>
      </rPr>
      <t xml:space="preserve"> = </t>
    </r>
  </si>
  <si>
    <r>
      <t xml:space="preserve">    Increment                </t>
    </r>
    <r>
      <rPr>
        <b/>
        <sz val="10"/>
        <rFont val="Symbol"/>
        <family val="1"/>
      </rPr>
      <t>Dl</t>
    </r>
    <r>
      <rPr>
        <b/>
        <sz val="10"/>
        <rFont val="Arial"/>
        <family val="2"/>
      </rPr>
      <t xml:space="preserve"> = </t>
    </r>
  </si>
  <si>
    <r>
      <t xml:space="preserve">Note:  You must enter D and F (based on N, 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, and M) from the table in the text.</t>
    </r>
  </si>
  <si>
    <t>Per Time</t>
  </si>
  <si>
    <t>Unit</t>
  </si>
  <si>
    <t xml:space="preserve">Service cost = </t>
  </si>
  <si>
    <t xml:space="preserve">Downtime cost = </t>
  </si>
  <si>
    <t xml:space="preserve">Total Cost = 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</si>
  <si>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</si>
  <si>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</si>
  <si>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</si>
  <si>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</si>
  <si>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</si>
  <si>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19 - Solved Problems</t>
  </si>
  <si>
    <t>Chapter 19 - Examples</t>
  </si>
  <si>
    <t>2.</t>
  </si>
  <si>
    <t>P( 4 units in system)</t>
  </si>
  <si>
    <t>P( 4 ) =</t>
  </si>
  <si>
    <t>P( &lt; 4 units in system )</t>
  </si>
  <si>
    <t>P( &lt; 4) =</t>
  </si>
  <si>
    <t>3.</t>
  </si>
  <si>
    <t>4.</t>
  </si>
  <si>
    <t>5.</t>
  </si>
  <si>
    <t/>
  </si>
  <si>
    <t>8.</t>
  </si>
  <si>
    <t>9.</t>
  </si>
  <si>
    <t>10.</t>
  </si>
  <si>
    <t>1.</t>
  </si>
  <si>
    <t>All rights Reserved.</t>
  </si>
  <si>
    <t>See Instructions template for complete instructions.</t>
  </si>
  <si>
    <t>Chapter Nineteen - Waiting Lines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</si>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</sst>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000_)"/>
    <numFmt numFmtId="168" formatCode="0.000"/>
    <numFmt numFmtId="169" formatCode="0.0000"/>
    <numFmt numFmtId="170" formatCode="0.00\ \)"/>
    <numFmt numFmtId="171" formatCode="0.00\ "/>
    <numFmt numFmtId="172" formatCode="#,##0.0"/>
    <numFmt numFmtId="173" formatCode=";;;"/>
    <numFmt numFmtId="174" formatCode="0.00000"/>
    <numFmt numFmtId="175" formatCode="0.000000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4.25"/>
      <name val="Arial"/>
      <family val="0"/>
    </font>
    <font>
      <sz val="5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b/>
      <sz val="8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164" fontId="11" fillId="0" borderId="0">
      <alignment/>
      <protection/>
    </xf>
    <xf numFmtId="9" fontId="0" fillId="0" borderId="0" applyFont="0" applyFill="0" applyBorder="0" applyAlignment="0" applyProtection="0"/>
  </cellStyleXfs>
  <cellXfs count="11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 locked="0"/>
    </xf>
    <xf numFmtId="164" fontId="1" fillId="2" borderId="1" xfId="22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left"/>
      <protection hidden="1"/>
    </xf>
    <xf numFmtId="164" fontId="1" fillId="0" borderId="4" xfId="0" applyFont="1" applyBorder="1" applyAlignment="1" applyProtection="1" quotePrefix="1">
      <alignment horizontal="right"/>
      <protection hidden="1"/>
    </xf>
    <xf numFmtId="164" fontId="0" fillId="0" borderId="5" xfId="0" applyFont="1" applyBorder="1" applyAlignment="1" applyProtection="1">
      <alignment/>
      <protection hidden="1"/>
    </xf>
    <xf numFmtId="164" fontId="1" fillId="0" borderId="5" xfId="0" applyFont="1" applyBorder="1" applyAlignment="1" applyProtection="1">
      <alignment/>
      <protection hidden="1"/>
    </xf>
    <xf numFmtId="164" fontId="1" fillId="0" borderId="6" xfId="0" applyFont="1" applyBorder="1" applyAlignment="1" applyProtection="1" quotePrefix="1">
      <alignment horizontal="right"/>
      <protection hidden="1"/>
    </xf>
    <xf numFmtId="164" fontId="1" fillId="0" borderId="5" xfId="0" applyFont="1" applyBorder="1" applyAlignment="1" applyProtection="1">
      <alignment horizontal="left"/>
      <protection hidden="1"/>
    </xf>
    <xf numFmtId="164" fontId="1" fillId="0" borderId="7" xfId="0" applyFont="1" applyBorder="1" applyAlignment="1" applyProtection="1" quotePrefix="1">
      <alignment horizontal="left"/>
      <protection hidden="1"/>
    </xf>
    <xf numFmtId="164" fontId="1" fillId="0" borderId="8" xfId="0" applyFont="1" applyBorder="1" applyAlignment="1" applyProtection="1" quotePrefix="1">
      <alignment horizontal="right"/>
      <protection hidden="1"/>
    </xf>
    <xf numFmtId="164" fontId="1" fillId="0" borderId="3" xfId="0" applyFont="1" applyBorder="1" applyAlignment="1" applyProtection="1" quotePrefix="1">
      <alignment horizontal="left"/>
      <protection hidden="1"/>
    </xf>
    <xf numFmtId="164" fontId="1" fillId="0" borderId="9" xfId="0" applyFont="1" applyBorder="1" applyAlignment="1" applyProtection="1">
      <alignment horizontal="left"/>
      <protection hidden="1"/>
    </xf>
    <xf numFmtId="164" fontId="5" fillId="0" borderId="1" xfId="0" applyFont="1" applyBorder="1" applyAlignment="1" applyProtection="1" quotePrefix="1">
      <alignment horizontal="right"/>
      <protection hidden="1"/>
    </xf>
    <xf numFmtId="167" fontId="1" fillId="0" borderId="4" xfId="22" applyNumberFormat="1" applyFont="1" applyBorder="1" applyAlignment="1" applyProtection="1">
      <alignment horizontal="center"/>
      <protection hidden="1"/>
    </xf>
    <xf numFmtId="167" fontId="1" fillId="0" borderId="6" xfId="22" applyNumberFormat="1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 horizontal="left"/>
      <protection hidden="1"/>
    </xf>
    <xf numFmtId="167" fontId="1" fillId="0" borderId="8" xfId="22" applyNumberFormat="1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7" fontId="1" fillId="2" borderId="4" xfId="22" applyNumberFormat="1" applyFont="1" applyFill="1" applyBorder="1" applyAlignment="1" applyProtection="1">
      <alignment horizontal="center"/>
      <protection locked="0"/>
    </xf>
    <xf numFmtId="167" fontId="1" fillId="2" borderId="8" xfId="22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1" xfId="0" applyFont="1" applyFill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 quotePrefix="1">
      <alignment horizontal="right"/>
      <protection hidden="1"/>
    </xf>
    <xf numFmtId="165" fontId="1" fillId="0" borderId="10" xfId="0" applyNumberFormat="1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 quotePrefix="1">
      <alignment horizontal="right"/>
      <protection hidden="1"/>
    </xf>
    <xf numFmtId="164" fontId="1" fillId="0" borderId="5" xfId="0" applyFont="1" applyBorder="1" applyAlignment="1" applyProtection="1" quotePrefix="1">
      <alignment horizontal="right"/>
      <protection hidden="1"/>
    </xf>
    <xf numFmtId="164" fontId="1" fillId="0" borderId="7" xfId="0" applyFont="1" applyBorder="1" applyAlignment="1" applyProtection="1" quotePrefix="1">
      <alignment horizontal="right"/>
      <protection hidden="1"/>
    </xf>
    <xf numFmtId="167" fontId="1" fillId="0" borderId="4" xfId="22" applyNumberFormat="1" applyFont="1" applyFill="1" applyBorder="1" applyAlignment="1" applyProtection="1">
      <alignment horizontal="center"/>
      <protection hidden="1"/>
    </xf>
    <xf numFmtId="167" fontId="1" fillId="0" borderId="6" xfId="22" applyNumberFormat="1" applyFont="1" applyFill="1" applyBorder="1" applyAlignment="1" applyProtection="1">
      <alignment horizontal="center"/>
      <protection hidden="1"/>
    </xf>
    <xf numFmtId="167" fontId="1" fillId="0" borderId="8" xfId="22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 horizontal="center"/>
      <protection locked="0"/>
    </xf>
    <xf numFmtId="164" fontId="1" fillId="2" borderId="6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2" borderId="1" xfId="0" applyFont="1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/>
      <protection hidden="1"/>
    </xf>
    <xf numFmtId="164" fontId="1" fillId="0" borderId="3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7" fontId="1" fillId="0" borderId="1" xfId="0" applyNumberFormat="1" applyFont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Continuous"/>
      <protection hidden="1"/>
    </xf>
    <xf numFmtId="164" fontId="1" fillId="0" borderId="11" xfId="0" applyFont="1" applyBorder="1" applyAlignment="1" applyProtection="1">
      <alignment horizontal="centerContinuous"/>
      <protection hidden="1"/>
    </xf>
    <xf numFmtId="164" fontId="1" fillId="0" borderId="10" xfId="0" applyFont="1" applyBorder="1" applyAlignment="1" applyProtection="1">
      <alignment horizontal="centerContinuous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 quotePrefix="1">
      <alignment horizontal="right"/>
      <protection hidden="1"/>
    </xf>
    <xf numFmtId="164" fontId="4" fillId="0" borderId="5" xfId="0" applyFont="1" applyBorder="1" applyAlignment="1" applyProtection="1" quotePrefix="1">
      <alignment horizontal="right"/>
      <protection hidden="1"/>
    </xf>
    <xf numFmtId="164" fontId="4" fillId="0" borderId="12" xfId="0" applyFont="1" applyBorder="1" applyAlignment="1" applyProtection="1" quotePrefix="1">
      <alignment horizontal="right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/>
      <protection hidden="1"/>
    </xf>
    <xf numFmtId="165" fontId="0" fillId="0" borderId="12" xfId="0" applyNumberFormat="1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5" fontId="1" fillId="0" borderId="6" xfId="0" applyNumberFormat="1" applyFont="1" applyBorder="1" applyAlignment="1" applyProtection="1">
      <alignment horizontal="center"/>
      <protection hidden="1"/>
    </xf>
    <xf numFmtId="168" fontId="0" fillId="0" borderId="0" xfId="0" applyNumberFormat="1" applyFont="1" applyAlignment="1" applyProtection="1">
      <alignment/>
      <protection hidden="1"/>
    </xf>
    <xf numFmtId="164" fontId="0" fillId="0" borderId="7" xfId="0" applyFont="1" applyBorder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5" fontId="0" fillId="0" borderId="13" xfId="0" applyNumberFormat="1" applyFont="1" applyBorder="1" applyAlignment="1" applyProtection="1">
      <alignment/>
      <protection hidden="1"/>
    </xf>
    <xf numFmtId="164" fontId="1" fillId="0" borderId="3" xfId="22" applyFont="1" applyBorder="1" applyProtection="1">
      <alignment/>
      <protection hidden="1"/>
    </xf>
    <xf numFmtId="164" fontId="0" fillId="0" borderId="0" xfId="22" applyFont="1" applyFill="1" applyBorder="1" applyProtection="1">
      <alignment/>
      <protection hidden="1"/>
    </xf>
    <xf numFmtId="164" fontId="0" fillId="0" borderId="0" xfId="22" applyFont="1" applyBorder="1" applyProtection="1">
      <alignment/>
      <protection hidden="1"/>
    </xf>
    <xf numFmtId="164" fontId="1" fillId="0" borderId="5" xfId="0" applyFont="1" applyBorder="1" applyAlignment="1" applyProtection="1">
      <alignment horizontal="right"/>
      <protection hidden="1"/>
    </xf>
    <xf numFmtId="164" fontId="0" fillId="3" borderId="0" xfId="22" applyFont="1" applyFill="1" applyBorder="1" applyProtection="1">
      <alignment/>
      <protection hidden="1"/>
    </xf>
    <xf numFmtId="164" fontId="0" fillId="0" borderId="12" xfId="22" applyFont="1" applyBorder="1" applyProtection="1">
      <alignment/>
      <protection hidden="1"/>
    </xf>
    <xf numFmtId="164" fontId="5" fillId="0" borderId="5" xfId="0" applyFont="1" applyBorder="1" applyAlignment="1" applyProtection="1">
      <alignment horizontal="right"/>
      <protection hidden="1"/>
    </xf>
    <xf numFmtId="164" fontId="1" fillId="0" borderId="0" xfId="22" applyFont="1" applyBorder="1" applyProtection="1">
      <alignment/>
      <protection hidden="1"/>
    </xf>
    <xf numFmtId="164" fontId="1" fillId="0" borderId="0" xfId="22" applyFont="1" applyBorder="1" applyAlignment="1" applyProtection="1" quotePrefix="1">
      <alignment horizontal="right"/>
      <protection hidden="1"/>
    </xf>
    <xf numFmtId="164" fontId="4" fillId="0" borderId="0" xfId="22" applyFont="1" applyBorder="1" applyAlignment="1" applyProtection="1" quotePrefix="1">
      <alignment horizontal="right"/>
      <protection hidden="1"/>
    </xf>
    <xf numFmtId="164" fontId="0" fillId="0" borderId="5" xfId="22" applyFont="1" applyBorder="1" applyProtection="1">
      <alignment/>
      <protection hidden="1"/>
    </xf>
    <xf numFmtId="164" fontId="1" fillId="0" borderId="0" xfId="22" applyFont="1" applyBorder="1" applyAlignment="1" applyProtection="1">
      <alignment horizontal="left"/>
      <protection hidden="1"/>
    </xf>
    <xf numFmtId="164" fontId="4" fillId="0" borderId="5" xfId="22" applyFont="1" applyBorder="1" applyAlignment="1" applyProtection="1" quotePrefix="1">
      <alignment horizontal="right"/>
      <protection hidden="1"/>
    </xf>
    <xf numFmtId="164" fontId="4" fillId="0" borderId="12" xfId="22" applyFont="1" applyBorder="1" applyAlignment="1" applyProtection="1" quotePrefix="1">
      <alignment horizontal="right"/>
      <protection hidden="1"/>
    </xf>
    <xf numFmtId="165" fontId="0" fillId="0" borderId="0" xfId="22" applyNumberFormat="1" applyFont="1" applyBorder="1" applyProtection="1">
      <alignment/>
      <protection hidden="1"/>
    </xf>
    <xf numFmtId="165" fontId="0" fillId="0" borderId="12" xfId="22" applyNumberFormat="1" applyFont="1" applyBorder="1" applyProtection="1">
      <alignment/>
      <protection hidden="1"/>
    </xf>
    <xf numFmtId="164" fontId="0" fillId="0" borderId="7" xfId="22" applyFont="1" applyBorder="1" applyProtection="1">
      <alignment/>
      <protection hidden="1"/>
    </xf>
    <xf numFmtId="165" fontId="0" fillId="0" borderId="2" xfId="22" applyNumberFormat="1" applyFont="1" applyBorder="1" applyProtection="1">
      <alignment/>
      <protection hidden="1"/>
    </xf>
    <xf numFmtId="165" fontId="0" fillId="0" borderId="13" xfId="22" applyNumberFormat="1" applyFont="1" applyBorder="1" applyProtection="1">
      <alignment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Font="1" applyFill="1" applyAlignment="1" applyProtection="1">
      <alignment horizontal="center"/>
      <protection hidden="1"/>
    </xf>
    <xf numFmtId="167" fontId="1" fillId="0" borderId="3" xfId="0" applyNumberFormat="1" applyFont="1" applyBorder="1" applyAlignment="1" applyProtection="1">
      <alignment horizontal="center"/>
      <protection hidden="1"/>
    </xf>
    <xf numFmtId="167" fontId="1" fillId="0" borderId="4" xfId="0" applyNumberFormat="1" applyFont="1" applyBorder="1" applyAlignment="1" applyProtection="1">
      <alignment horizontal="center"/>
      <protection hidden="1"/>
    </xf>
    <xf numFmtId="167" fontId="1" fillId="0" borderId="5" xfId="0" applyNumberFormat="1" applyFont="1" applyBorder="1" applyAlignment="1" applyProtection="1">
      <alignment horizontal="center"/>
      <protection hidden="1"/>
    </xf>
    <xf numFmtId="167" fontId="1" fillId="0" borderId="6" xfId="0" applyNumberFormat="1" applyFont="1" applyBorder="1" applyAlignment="1" applyProtection="1">
      <alignment horizontal="center"/>
      <protection hidden="1"/>
    </xf>
    <xf numFmtId="167" fontId="1" fillId="0" borderId="7" xfId="0" applyNumberFormat="1" applyFont="1" applyBorder="1" applyAlignment="1" applyProtection="1">
      <alignment horizontal="center"/>
      <protection hidden="1"/>
    </xf>
    <xf numFmtId="167" fontId="1" fillId="0" borderId="8" xfId="0" applyNumberFormat="1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 quotePrefix="1">
      <alignment horizontal="center"/>
      <protection hidden="1"/>
    </xf>
    <xf numFmtId="164" fontId="1" fillId="0" borderId="0" xfId="0" applyFont="1" applyBorder="1" applyAlignment="1" applyProtection="1" quotePrefix="1">
      <alignment horizontal="left"/>
      <protection hidden="1"/>
    </xf>
    <xf numFmtId="164" fontId="1" fillId="0" borderId="8" xfId="0" applyFont="1" applyBorder="1" applyAlignment="1" applyProtection="1">
      <alignment horizontal="center"/>
      <protection hidden="1"/>
    </xf>
    <xf numFmtId="0" fontId="0" fillId="0" borderId="0" xfId="21">
      <alignment/>
      <protection/>
    </xf>
    <xf numFmtId="0" fontId="1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 quotePrefix="1">
      <alignment horizontal="right"/>
      <protection/>
    </xf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" fillId="0" borderId="0" xfId="0" applyFont="1" applyAlignment="1">
      <alignment/>
    </xf>
    <xf numFmtId="164" fontId="17" fillId="0" borderId="0" xfId="20" applyAlignment="1" applyProtection="1">
      <alignment horizontal="left"/>
      <protection hidden="1"/>
    </xf>
    <xf numFmtId="0" fontId="17" fillId="0" borderId="0" xfId="20" applyAlignment="1">
      <alignment/>
    </xf>
    <xf numFmtId="0" fontId="1" fillId="0" borderId="0" xfId="21" applyFont="1" applyProtection="1">
      <alignment/>
      <protection locked="0"/>
    </xf>
    <xf numFmtId="0" fontId="17" fillId="0" borderId="0" xfId="20" applyAlignment="1" applyProtection="1">
      <alignment horizontal="left"/>
      <protection locked="0"/>
    </xf>
    <xf numFmtId="0" fontId="0" fillId="0" borderId="0" xfId="2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17Instructor" xfId="21"/>
    <cellStyle name="Normal_T19-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0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'Single Channel'!$B$12</c:f>
              <c:strCache>
                <c:ptCount val="1"/>
                <c:pt idx="0">
                  <c:v>System Utilization</c:v>
                </c:pt>
              </c:strCache>
            </c:strRef>
          </c:cat>
          <c:val>
            <c:numRef>
              <c:f>'Single Channel'!$D$12</c:f>
              <c:numCache>
                <c:ptCount val="1"/>
                <c:pt idx="0">
                  <c:v>0.75</c:v>
                </c:pt>
              </c:numCache>
            </c:numRef>
          </c:val>
        </c:ser>
        <c:axId val="22827629"/>
        <c:axId val="28323722"/>
      </c:barChart>
      <c:catAx>
        <c:axId val="2282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323722"/>
        <c:crosses val="autoZero"/>
        <c:auto val="1"/>
        <c:lblOffset val="100"/>
        <c:noMultiLvlLbl val="0"/>
      </c:catAx>
      <c:valAx>
        <c:axId val="2832372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827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58"/>
          <c:h val="0.8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'Single Channel'!$D$9</c:f>
              <c:strCache>
                <c:ptCount val="1"/>
                <c:pt idx="0">
                  <c:v>Exponential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'Single Channel'!$G$12:$G$13</c:f>
              <c:strCache>
                <c:ptCount val="2"/>
                <c:pt idx="0">
                  <c:v>Wq</c:v>
                </c:pt>
                <c:pt idx="1">
                  <c:v>Ws</c:v>
                </c:pt>
              </c:strCache>
            </c:strRef>
          </c:cat>
          <c:val>
            <c:numRef>
              <c:f>'Single Channel'!$D$16:$D$17</c:f>
              <c:numCache>
                <c:ptCount val="2"/>
                <c:pt idx="0">
                  <c:v>0.15</c:v>
                </c:pt>
                <c:pt idx="1">
                  <c:v>0.2</c:v>
                </c:pt>
              </c:numCache>
            </c:numRef>
          </c:val>
        </c:ser>
        <c:ser>
          <c:idx val="0"/>
          <c:order val="1"/>
          <c:tx>
            <c:strRef>
              <c:f>'Single Channel'!$E$9</c:f>
              <c:strCache>
                <c:ptCount val="1"/>
                <c:pt idx="0">
                  <c:v>Constant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'Single Channel'!$E$16:$E$17</c:f>
              <c:numCache>
                <c:ptCount val="2"/>
                <c:pt idx="0">
                  <c:v>0.075</c:v>
                </c:pt>
                <c:pt idx="1">
                  <c:v>0.125</c:v>
                </c:pt>
              </c:numCache>
            </c:numRef>
          </c:val>
        </c:ser>
        <c:axId val="32664067"/>
        <c:axId val="21979688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'Single Channel'!$G$21</c:f>
              <c:numCache>
                <c:ptCount val="1"/>
                <c:pt idx="0">
                  <c:v>0.49999999999999994</c:v>
                </c:pt>
              </c:numCache>
            </c:numRef>
          </c:val>
          <c:smooth val="0"/>
        </c:ser>
        <c:axId val="17300489"/>
        <c:axId val="23579766"/>
      </c:lineChart>
      <c:catAx>
        <c:axId val="32664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979688"/>
        <c:crosses val="autoZero"/>
        <c:auto val="0"/>
        <c:lblOffset val="100"/>
        <c:tickLblSkip val="1"/>
        <c:noMultiLvlLbl val="0"/>
      </c:catAx>
      <c:valAx>
        <c:axId val="21979688"/>
        <c:scaling>
          <c:orientation val="minMax"/>
        </c:scaling>
        <c:axPos val="l"/>
        <c:majorGridlines/>
        <c:delete val="0"/>
        <c:numFmt formatCode="0.00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64067"/>
        <c:crossesAt val="1"/>
        <c:crossBetween val="between"/>
        <c:dispUnits/>
      </c:valAx>
      <c:catAx>
        <c:axId val="17300489"/>
        <c:scaling>
          <c:orientation val="minMax"/>
        </c:scaling>
        <c:axPos val="b"/>
        <c:delete val="1"/>
        <c:majorTickMark val="in"/>
        <c:minorTickMark val="none"/>
        <c:tickLblPos val="nextTo"/>
        <c:crossAx val="23579766"/>
        <c:crosses val="autoZero"/>
        <c:auto val="0"/>
        <c:lblOffset val="100"/>
        <c:tickLblSkip val="1"/>
        <c:noMultiLvlLbl val="0"/>
      </c:catAx>
      <c:valAx>
        <c:axId val="23579766"/>
        <c:scaling>
          <c:orientation val="minMax"/>
        </c:scaling>
        <c:axPos val="l"/>
        <c:delete val="1"/>
        <c:majorTickMark val="in"/>
        <c:minorTickMark val="none"/>
        <c:tickLblPos val="nextTo"/>
        <c:crossAx val="17300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325"/>
          <c:y val="0.88725"/>
          <c:w val="0.864"/>
          <c:h val="0.0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40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Channel'!$B$7</c:f>
              <c:strCache>
                <c:ptCount val="1"/>
                <c:pt idx="0">
                  <c:v>System Utilization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Channel'!$D$6:$I$6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'Multiple Channel'!$D$7:$I$7</c:f>
              <c:numCache>
                <c:ptCount val="6"/>
                <c:pt idx="0">
                  <c:v>0.9166666666666667</c:v>
                </c:pt>
                <c:pt idx="1">
                  <c:v>0.7857142857142856</c:v>
                </c:pt>
                <c:pt idx="2">
                  <c:v>0.6875</c:v>
                </c:pt>
                <c:pt idx="3">
                  <c:v>0.6111111111111112</c:v>
                </c:pt>
                <c:pt idx="4">
                  <c:v>0.5499999999999999</c:v>
                </c:pt>
                <c:pt idx="5">
                  <c:v>0.5</c:v>
                </c:pt>
              </c:numCache>
            </c:numRef>
          </c:val>
        </c:ser>
        <c:axId val="38101503"/>
        <c:axId val="25557492"/>
      </c:barChart>
      <c:catAx>
        <c:axId val="3810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57492"/>
        <c:crosses val="autoZero"/>
        <c:auto val="1"/>
        <c:lblOffset val="100"/>
        <c:noMultiLvlLbl val="0"/>
      </c:catAx>
      <c:valAx>
        <c:axId val="255574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Utilization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0150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25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Channel'!$B$14</c:f>
              <c:strCache>
                <c:ptCount val="1"/>
                <c:pt idx="0">
                  <c:v>Average waiting time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Channel'!$D$6:$I$6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'Multiple Channel'!$D$14:$I$14</c:f>
              <c:numCache>
                <c:ptCount val="6"/>
                <c:pt idx="0">
                  <c:v>1.6666666666666676</c:v>
                </c:pt>
                <c:pt idx="1">
                  <c:v>0.5555555555555554</c:v>
                </c:pt>
                <c:pt idx="2">
                  <c:v>0.3333333333333333</c:v>
                </c:pt>
                <c:pt idx="3">
                  <c:v>0.23809523809523814</c:v>
                </c:pt>
                <c:pt idx="4">
                  <c:v>0.18518518518518517</c:v>
                </c:pt>
                <c:pt idx="5">
                  <c:v>0.15151515151515152</c:v>
                </c:pt>
              </c:numCache>
            </c:numRef>
          </c:val>
        </c:ser>
        <c:axId val="63811941"/>
        <c:axId val="24248866"/>
      </c:barChart>
      <c:catAx>
        <c:axId val="6381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248866"/>
        <c:crosses val="autoZero"/>
        <c:auto val="1"/>
        <c:lblOffset val="100"/>
        <c:noMultiLvlLbl val="0"/>
      </c:catAx>
      <c:valAx>
        <c:axId val="24248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Waiting Time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11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88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'Multiple Priorities'!$B$8</c:f>
              <c:strCache>
                <c:ptCount val="1"/>
                <c:pt idx="0">
                  <c:v>System Utilization</c:v>
                </c:pt>
              </c:strCache>
            </c:strRef>
          </c:cat>
          <c:val>
            <c:numRef>
              <c:f>'Multiple Priorities'!$D$8</c:f>
              <c:numCache>
                <c:ptCount val="1"/>
                <c:pt idx="0">
                  <c:v>0.8333333333333334</c:v>
                </c:pt>
              </c:numCache>
            </c:numRef>
          </c:val>
        </c:ser>
        <c:axId val="46799803"/>
        <c:axId val="4417664"/>
      </c:barChart>
      <c:catAx>
        <c:axId val="4679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7664"/>
        <c:crosses val="autoZero"/>
        <c:auto val="1"/>
        <c:lblOffset val="100"/>
        <c:noMultiLvlLbl val="0"/>
      </c:catAx>
      <c:valAx>
        <c:axId val="441766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99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'Multiple Priorities'!#REF!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'Multiple Priorities'!#REF!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'Multiple Priorities'!#REF!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</c:ser>
        <c:axId val="57429633"/>
        <c:axId val="8387726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31575"/>
        <c:axId val="8239564"/>
      </c:lineChart>
      <c:catAx>
        <c:axId val="5742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387726"/>
        <c:crosses val="autoZero"/>
        <c:auto val="0"/>
        <c:lblOffset val="100"/>
        <c:tickLblSkip val="1"/>
        <c:noMultiLvlLbl val="0"/>
      </c:catAx>
      <c:valAx>
        <c:axId val="8387726"/>
        <c:scaling>
          <c:orientation val="minMax"/>
        </c:scaling>
        <c:axPos val="l"/>
        <c:majorGridlines/>
        <c:delete val="0"/>
        <c:numFmt formatCode="0.00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29633"/>
        <c:crossesAt val="1"/>
        <c:crossBetween val="between"/>
        <c:dispUnits/>
      </c:valAx>
      <c:catAx>
        <c:axId val="41931575"/>
        <c:scaling>
          <c:orientation val="minMax"/>
        </c:scaling>
        <c:axPos val="b"/>
        <c:delete val="1"/>
        <c:majorTickMark val="in"/>
        <c:minorTickMark val="none"/>
        <c:tickLblPos val="nextTo"/>
        <c:crossAx val="8239564"/>
        <c:crosses val="autoZero"/>
        <c:auto val="0"/>
        <c:lblOffset val="100"/>
        <c:tickLblSkip val="1"/>
        <c:noMultiLvlLbl val="0"/>
      </c:catAx>
      <c:valAx>
        <c:axId val="8239564"/>
        <c:scaling>
          <c:orientation val="minMax"/>
        </c:scaling>
        <c:axPos val="l"/>
        <c:delete val="1"/>
        <c:majorTickMark val="in"/>
        <c:minorTickMark val="none"/>
        <c:tickLblPos val="nextTo"/>
        <c:crossAx val="4193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03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Priorities'!$B$12</c:f>
              <c:strCache>
                <c:ptCount val="1"/>
                <c:pt idx="0">
                  <c:v>Average time in 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Priorities'!$E$6:$H$6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'Multiple Priorities'!$E$12:$H$12</c:f>
              <c:numCache>
                <c:ptCount val="4"/>
                <c:pt idx="0">
                  <c:v>0.1468791126151531</c:v>
                </c:pt>
                <c:pt idx="1">
                  <c:v>0.4406373378454593</c:v>
                </c:pt>
                <c:pt idx="2">
                  <c:v>1.7625493513818378</c:v>
                </c:pt>
                <c:pt idx="3">
                  <c:v>0</c:v>
                </c:pt>
              </c:numCache>
            </c:numRef>
          </c:val>
        </c:ser>
        <c:axId val="40005469"/>
        <c:axId val="50309050"/>
      </c:barChart>
      <c:catAx>
        <c:axId val="400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309050"/>
        <c:crosses val="autoZero"/>
        <c:auto val="1"/>
        <c:lblOffset val="100"/>
        <c:noMultiLvlLbl val="0"/>
      </c:catAx>
      <c:valAx>
        <c:axId val="5030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Ave. time in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0005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9525</xdr:rowOff>
    </xdr:from>
    <xdr:to>
      <xdr:col>4</xdr:col>
      <xdr:colOff>161925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161925</xdr:rowOff>
    </xdr:from>
    <xdr:to>
      <xdr:col>4</xdr:col>
      <xdr:colOff>161925</xdr:colOff>
      <xdr:row>5</xdr:row>
      <xdr:rowOff>161925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762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19</xdr:row>
      <xdr:rowOff>0</xdr:rowOff>
    </xdr:to>
    <xdr:pic>
      <xdr:nvPicPr>
        <xdr:cNvPr id="3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908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28575</xdr:rowOff>
    </xdr:from>
    <xdr:to>
      <xdr:col>7</xdr:col>
      <xdr:colOff>952500</xdr:colOff>
      <xdr:row>11</xdr:row>
      <xdr:rowOff>0</xdr:rowOff>
    </xdr:to>
    <xdr:graphicFrame>
      <xdr:nvGraphicFramePr>
        <xdr:cNvPr id="4" name="Chart 14"/>
        <xdr:cNvGraphicFramePr/>
      </xdr:nvGraphicFramePr>
      <xdr:xfrm>
        <a:off x="4457700" y="28575"/>
        <a:ext cx="20669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11</xdr:row>
      <xdr:rowOff>19050</xdr:rowOff>
    </xdr:from>
    <xdr:to>
      <xdr:col>7</xdr:col>
      <xdr:colOff>1476375</xdr:colOff>
      <xdr:row>21</xdr:row>
      <xdr:rowOff>152400</xdr:rowOff>
    </xdr:to>
    <xdr:graphicFrame>
      <xdr:nvGraphicFramePr>
        <xdr:cNvPr id="5" name="Chart 16"/>
        <xdr:cNvGraphicFramePr/>
      </xdr:nvGraphicFramePr>
      <xdr:xfrm>
        <a:off x="4019550" y="1876425"/>
        <a:ext cx="30289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3</xdr:col>
      <xdr:colOff>152400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0</xdr:rowOff>
    </xdr:from>
    <xdr:to>
      <xdr:col>8</xdr:col>
      <xdr:colOff>171450</xdr:colOff>
      <xdr:row>3</xdr:row>
      <xdr:rowOff>0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14</xdr:row>
      <xdr:rowOff>28575</xdr:rowOff>
    </xdr:from>
    <xdr:to>
      <xdr:col>3</xdr:col>
      <xdr:colOff>685800</xdr:colOff>
      <xdr:row>21</xdr:row>
      <xdr:rowOff>114300</xdr:rowOff>
    </xdr:to>
    <xdr:graphicFrame>
      <xdr:nvGraphicFramePr>
        <xdr:cNvPr id="3" name="Chart 9"/>
        <xdr:cNvGraphicFramePr/>
      </xdr:nvGraphicFramePr>
      <xdr:xfrm>
        <a:off x="171450" y="2495550"/>
        <a:ext cx="3133725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14</xdr:row>
      <xdr:rowOff>28575</xdr:rowOff>
    </xdr:from>
    <xdr:to>
      <xdr:col>8</xdr:col>
      <xdr:colOff>685800</xdr:colOff>
      <xdr:row>21</xdr:row>
      <xdr:rowOff>123825</xdr:rowOff>
    </xdr:to>
    <xdr:graphicFrame>
      <xdr:nvGraphicFramePr>
        <xdr:cNvPr id="4" name="Chart 10"/>
        <xdr:cNvGraphicFramePr/>
      </xdr:nvGraphicFramePr>
      <xdr:xfrm>
        <a:off x="3362325" y="2495550"/>
        <a:ext cx="3514725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9525</xdr:colOff>
      <xdr:row>4</xdr:row>
      <xdr:rowOff>0</xdr:rowOff>
    </xdr:from>
    <xdr:to>
      <xdr:col>9</xdr:col>
      <xdr:colOff>161925</xdr:colOff>
      <xdr:row>6</xdr:row>
      <xdr:rowOff>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858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0</xdr:rowOff>
    </xdr:from>
    <xdr:to>
      <xdr:col>3</xdr:col>
      <xdr:colOff>171450</xdr:colOff>
      <xdr:row>3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14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161925</xdr:colOff>
      <xdr:row>3</xdr:row>
      <xdr:rowOff>9525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47625</xdr:rowOff>
    </xdr:from>
    <xdr:to>
      <xdr:col>1</xdr:col>
      <xdr:colOff>1619250</xdr:colOff>
      <xdr:row>21</xdr:row>
      <xdr:rowOff>152400</xdr:rowOff>
    </xdr:to>
    <xdr:graphicFrame>
      <xdr:nvGraphicFramePr>
        <xdr:cNvPr id="3" name="Chart 6"/>
        <xdr:cNvGraphicFramePr/>
      </xdr:nvGraphicFramePr>
      <xdr:xfrm>
        <a:off x="152400" y="2324100"/>
        <a:ext cx="160972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4" name="Chart 8"/>
        <xdr:cNvGraphicFramePr/>
      </xdr:nvGraphicFramePr>
      <xdr:xfrm>
        <a:off x="6638925" y="2600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13</xdr:row>
      <xdr:rowOff>38100</xdr:rowOff>
    </xdr:from>
    <xdr:to>
      <xdr:col>7</xdr:col>
      <xdr:colOff>733425</xdr:colOff>
      <xdr:row>22</xdr:row>
      <xdr:rowOff>28575</xdr:rowOff>
    </xdr:to>
    <xdr:graphicFrame>
      <xdr:nvGraphicFramePr>
        <xdr:cNvPr id="5" name="Chart 9"/>
        <xdr:cNvGraphicFramePr/>
      </xdr:nvGraphicFramePr>
      <xdr:xfrm>
        <a:off x="1914525" y="2314575"/>
        <a:ext cx="42386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03" customWidth="1"/>
    <col min="2" max="2" width="6.7109375" style="103" customWidth="1"/>
    <col min="3" max="3" width="16.7109375" style="103" customWidth="1"/>
    <col min="4" max="4" width="62.28125" style="103" customWidth="1"/>
    <col min="5" max="5" width="2.7109375" style="103" customWidth="1"/>
    <col min="6" max="16384" width="9.140625" style="103" customWidth="1"/>
  </cols>
  <sheetData>
    <row r="1" spans="2:4" ht="12.75">
      <c r="B1" s="104" t="s">
        <v>105</v>
      </c>
      <c r="C1" s="105"/>
      <c r="D1" s="105"/>
    </row>
    <row r="2" spans="2:4" ht="12.75">
      <c r="B2" s="104" t="s">
        <v>82</v>
      </c>
      <c r="C2" s="105"/>
      <c r="D2" s="105"/>
    </row>
    <row r="3" spans="2:4" ht="12.75">
      <c r="B3" s="104" t="s">
        <v>83</v>
      </c>
      <c r="C3" s="105"/>
      <c r="D3" s="105"/>
    </row>
    <row r="4" spans="2:4" ht="12.75">
      <c r="B4" s="110" t="s">
        <v>102</v>
      </c>
      <c r="C4" s="111"/>
      <c r="D4" s="111"/>
    </row>
    <row r="5" spans="2:4" ht="12.75">
      <c r="B5" s="110"/>
      <c r="C5" s="111"/>
      <c r="D5" s="111"/>
    </row>
    <row r="7" ht="12.75">
      <c r="B7" s="106" t="s">
        <v>104</v>
      </c>
    </row>
    <row r="9" spans="3:4" ht="12.75">
      <c r="C9" s="106" t="s">
        <v>84</v>
      </c>
      <c r="D9" s="113" t="s">
        <v>48</v>
      </c>
    </row>
    <row r="10" spans="3:4" ht="12.75">
      <c r="C10" s="106"/>
      <c r="D10" s="113" t="s">
        <v>55</v>
      </c>
    </row>
    <row r="11" spans="3:4" ht="12.75">
      <c r="C11" s="106"/>
      <c r="D11" s="113" t="s">
        <v>65</v>
      </c>
    </row>
    <row r="12" ht="12.75">
      <c r="D12" s="113" t="s">
        <v>69</v>
      </c>
    </row>
    <row r="13" ht="12.75">
      <c r="D13" s="21"/>
    </row>
    <row r="14" ht="12.75">
      <c r="C14" s="114" t="s">
        <v>85</v>
      </c>
    </row>
    <row r="16" ht="12.75">
      <c r="C16" s="114" t="s">
        <v>86</v>
      </c>
    </row>
    <row r="18" spans="3:4" ht="12.75">
      <c r="C18" s="115"/>
      <c r="D18" s="116"/>
    </row>
    <row r="19" spans="3:4" ht="12.75">
      <c r="C19" s="117"/>
      <c r="D19" s="116"/>
    </row>
    <row r="20" ht="12.75">
      <c r="C20" s="106"/>
    </row>
    <row r="21" ht="12.75">
      <c r="B21" s="112" t="s">
        <v>103</v>
      </c>
    </row>
    <row r="22" ht="12.75">
      <c r="C22" s="106"/>
    </row>
  </sheetData>
  <sheetProtection password="A753" sheet="1" objects="1" scenarios="1"/>
  <hyperlinks>
    <hyperlink ref="D9" location="'Single Channel'!A1" display="Single Channel Waiting Line Model"/>
    <hyperlink ref="D10" location="'Multiple Channel'!A1" display="Multiple Channel Waiting Line Model"/>
    <hyperlink ref="D11" location="'Multiple Priorities'!A1" display="Multiple Priorities Waiting Line Model"/>
    <hyperlink ref="D12" location="'Finite Source'!A1" display="Finite Source Waiting Line Model"/>
    <hyperlink ref="C14" location="Examples!A1" display="Examples"/>
    <hyperlink ref="C16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21"/>
  <sheetViews>
    <sheetView workbookViewId="0" topLeftCell="A1">
      <selection activeCell="D5" sqref="D5"/>
    </sheetView>
  </sheetViews>
  <sheetFormatPr defaultColWidth="9.140625" defaultRowHeight="12.75"/>
  <cols>
    <col min="1" max="1" width="2.140625" style="42" customWidth="1"/>
    <col min="2" max="2" width="25.57421875" style="42" customWidth="1"/>
    <col min="3" max="3" width="7.8515625" style="42" customWidth="1"/>
    <col min="4" max="5" width="11.140625" style="42" customWidth="1"/>
    <col min="6" max="6" width="3.421875" style="42" customWidth="1"/>
    <col min="7" max="8" width="22.28125" style="42" customWidth="1"/>
    <col min="9" max="9" width="10.7109375" style="42" customWidth="1"/>
    <col min="10" max="10" width="5.7109375" style="42" customWidth="1"/>
    <col min="11" max="16384" width="9.140625" style="42" customWidth="1"/>
  </cols>
  <sheetData>
    <row r="1" spans="1:3" ht="13.5" thickBot="1">
      <c r="A1" s="3" t="s">
        <v>48</v>
      </c>
      <c r="B1" s="41"/>
      <c r="C1" s="41"/>
    </row>
    <row r="2" spans="1:4" ht="13.5" thickBot="1">
      <c r="A2" s="4"/>
      <c r="B2" s="58" t="s">
        <v>39</v>
      </c>
      <c r="C2" s="59" t="s">
        <v>31</v>
      </c>
      <c r="D2" s="1">
        <v>15</v>
      </c>
    </row>
    <row r="3" spans="1:4" ht="13.5" thickBot="1">
      <c r="A3" s="4"/>
      <c r="B3" s="21" t="s">
        <v>73</v>
      </c>
      <c r="C3" s="91" t="s">
        <v>71</v>
      </c>
      <c r="D3" s="1">
        <v>1</v>
      </c>
    </row>
    <row r="4" spans="1:4" ht="13.5" thickBot="1">
      <c r="A4" s="4"/>
      <c r="B4" s="58" t="s">
        <v>49</v>
      </c>
      <c r="C4" s="24" t="s">
        <v>41</v>
      </c>
      <c r="D4" s="51">
        <f>1/counter11a</f>
        <v>0.06666666666666667</v>
      </c>
    </row>
    <row r="5" spans="1:5" ht="13.5" thickBot="1">
      <c r="A5" s="4"/>
      <c r="B5" s="58" t="s">
        <v>38</v>
      </c>
      <c r="C5" s="59" t="s">
        <v>32</v>
      </c>
      <c r="D5" s="1">
        <v>20</v>
      </c>
      <c r="E5" s="49"/>
    </row>
    <row r="6" spans="1:5" ht="13.5" thickBot="1">
      <c r="A6" s="4"/>
      <c r="B6" s="21" t="s">
        <v>73</v>
      </c>
      <c r="C6" s="91" t="s">
        <v>72</v>
      </c>
      <c r="D6" s="1">
        <v>0.1</v>
      </c>
      <c r="E6" s="45"/>
    </row>
    <row r="7" spans="1:4" ht="13.5" thickBot="1">
      <c r="A7" s="4"/>
      <c r="B7" s="58" t="s">
        <v>50</v>
      </c>
      <c r="C7" s="24" t="s">
        <v>42</v>
      </c>
      <c r="D7" s="51">
        <f>1/counter11b</f>
        <v>0.05</v>
      </c>
    </row>
    <row r="8" spans="1:4" ht="12.75">
      <c r="A8" s="4"/>
      <c r="B8" s="58"/>
      <c r="C8" s="24"/>
      <c r="D8" s="92"/>
    </row>
    <row r="9" spans="1:5" ht="12.75">
      <c r="A9" s="4"/>
      <c r="B9" s="21"/>
      <c r="D9" s="25" t="s">
        <v>53</v>
      </c>
      <c r="E9" s="93" t="s">
        <v>47</v>
      </c>
    </row>
    <row r="10" spans="1:5" ht="12.75">
      <c r="A10" s="4"/>
      <c r="D10" s="25" t="s">
        <v>45</v>
      </c>
      <c r="E10" s="93" t="s">
        <v>45</v>
      </c>
    </row>
    <row r="11" spans="4:5" ht="13.5" thickBot="1">
      <c r="D11" s="25" t="s">
        <v>46</v>
      </c>
      <c r="E11" s="93" t="s">
        <v>46</v>
      </c>
    </row>
    <row r="12" spans="1:7" ht="14.25">
      <c r="A12" s="4"/>
      <c r="B12" s="58" t="s">
        <v>6</v>
      </c>
      <c r="C12" s="59" t="s">
        <v>37</v>
      </c>
      <c r="D12" s="94">
        <f>IF(D5&gt;D2,D2/D5,#VALUE!)</f>
        <v>0.75</v>
      </c>
      <c r="E12" s="95">
        <f>IF(D5&gt;D2,D2/D5,#VALUE!)</f>
        <v>0.75</v>
      </c>
      <c r="G12" s="30" t="s">
        <v>43</v>
      </c>
    </row>
    <row r="13" spans="1:7" ht="15" thickBot="1">
      <c r="A13" s="4"/>
      <c r="B13" s="21" t="s">
        <v>51</v>
      </c>
      <c r="C13" s="24" t="s">
        <v>52</v>
      </c>
      <c r="D13" s="96">
        <f>1-D12</f>
        <v>0.25</v>
      </c>
      <c r="E13" s="97">
        <f>1-E12</f>
        <v>0.25</v>
      </c>
      <c r="G13" s="30" t="s">
        <v>44</v>
      </c>
    </row>
    <row r="14" spans="1:7" ht="15" thickBot="1">
      <c r="A14" s="4"/>
      <c r="B14" s="58" t="s">
        <v>2</v>
      </c>
      <c r="C14" s="30" t="s">
        <v>33</v>
      </c>
      <c r="D14" s="96">
        <f>IF(D5&gt;D2,D2^2/(D5*(D5-D2)),#VALUE!)</f>
        <v>2.25</v>
      </c>
      <c r="E14" s="97">
        <f>IF(D5&gt;D2,D2^2/(2*D5*(D5-D2)),#VALUE!)</f>
        <v>1.125</v>
      </c>
      <c r="G14" s="27">
        <v>0.9</v>
      </c>
    </row>
    <row r="15" spans="1:7" ht="15" thickBot="1">
      <c r="A15" s="4"/>
      <c r="B15" s="58" t="s">
        <v>3</v>
      </c>
      <c r="C15" s="30" t="s">
        <v>34</v>
      </c>
      <c r="D15" s="96">
        <f>IF(D5&gt;D2,D14+D12,#VALUE!)</f>
        <v>3</v>
      </c>
      <c r="E15" s="97">
        <f>IF(D5&gt;D2,E14+E12,#VALUE!)</f>
        <v>1.875</v>
      </c>
      <c r="G15" s="44">
        <f>G14*G16</f>
        <v>18</v>
      </c>
    </row>
    <row r="16" spans="1:7" ht="15" thickBot="1">
      <c r="A16" s="4"/>
      <c r="B16" s="58" t="s">
        <v>4</v>
      </c>
      <c r="C16" s="30" t="s">
        <v>35</v>
      </c>
      <c r="D16" s="96">
        <f>IF(D5&gt;D2,D14/D2,#VALUE!)</f>
        <v>0.15</v>
      </c>
      <c r="E16" s="97">
        <f>IF(D5&gt;D2,E14/D2,#VALUE!)</f>
        <v>0.075</v>
      </c>
      <c r="G16" s="44">
        <f>counter11b</f>
        <v>20</v>
      </c>
    </row>
    <row r="17" spans="2:7" ht="15" thickBot="1">
      <c r="B17" s="58" t="s">
        <v>5</v>
      </c>
      <c r="C17" s="30" t="s">
        <v>36</v>
      </c>
      <c r="D17" s="98">
        <f>IF(D5&gt;D2,D16+1/D5,#VALUE!)</f>
        <v>0.2</v>
      </c>
      <c r="E17" s="99">
        <f>IF(D5&gt;D2,E16+1/D5,#VALUE!)</f>
        <v>0.125</v>
      </c>
      <c r="G17" s="100">
        <f>IF(G16&gt;G15,G15/G16,#VALUE!)</f>
        <v>0.9</v>
      </c>
    </row>
    <row r="18" spans="2:7" ht="13.5" thickBot="1">
      <c r="B18" s="58"/>
      <c r="G18" s="28">
        <f>IF(G16&gt;G15,G15^2/(G16*(G16-G15)),#VALUE!)</f>
        <v>8.1</v>
      </c>
    </row>
    <row r="19" spans="3:7" ht="13.5" thickBot="1">
      <c r="C19" s="24" t="s">
        <v>40</v>
      </c>
      <c r="D19" s="1">
        <v>4</v>
      </c>
      <c r="G19" s="28">
        <f>IF(G16&gt;G15,G18+G17,#VALUE!)</f>
        <v>9</v>
      </c>
    </row>
    <row r="20" spans="2:10" ht="12.75">
      <c r="B20" s="101" t="str">
        <f>"P( "&amp;TEXT(D19,"0")&amp;" units in system)"</f>
        <v>P( 4 units in system)</v>
      </c>
      <c r="C20" s="30" t="str">
        <f>"P( "&amp;TEXT(D19,"0")&amp;" ) ="</f>
        <v>P( 4 ) =</v>
      </c>
      <c r="D20" s="97">
        <f>IF(D5&gt;D2,(1-D12)*D12^D19,#VALUE!)</f>
        <v>0.0791015625</v>
      </c>
      <c r="G20" s="28">
        <f>IF(G16&gt;G15,G18/G15,#VALUE!)</f>
        <v>0.44999999999999996</v>
      </c>
      <c r="J20" s="42">
        <f>G21</f>
        <v>0.49999999999999994</v>
      </c>
    </row>
    <row r="21" spans="2:7" ht="13.5" thickBot="1">
      <c r="B21" s="58" t="str">
        <f>"P( &lt; "&amp;TEXT(D19,"0")&amp;" units in system )"</f>
        <v>P( &lt; 4 units in system )</v>
      </c>
      <c r="C21" s="30" t="str">
        <f>"P( &lt; "&amp;TEXT(D19,"0")&amp;") ="</f>
        <v>P( &lt; 4) =</v>
      </c>
      <c r="D21" s="99">
        <f>1-(counter11a/counter11b)^D19</f>
        <v>0.68359375</v>
      </c>
      <c r="G21" s="102">
        <f>IF(G16&gt;G15,G20+1/G16,#VALUE!)</f>
        <v>0.49999999999999994</v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S23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42" customWidth="1"/>
    <col min="2" max="2" width="26.7109375" style="42" customWidth="1"/>
    <col min="3" max="9" width="10.7109375" style="42" customWidth="1"/>
    <col min="10" max="10" width="2.7109375" style="42" customWidth="1"/>
    <col min="11" max="16384" width="9.140625" style="42" customWidth="1"/>
  </cols>
  <sheetData>
    <row r="1" spans="1:19" ht="13.5" thickBot="1">
      <c r="A1" s="3" t="s">
        <v>55</v>
      </c>
      <c r="B1" s="3"/>
      <c r="C1" s="41"/>
      <c r="D1" s="41"/>
      <c r="L1" s="49"/>
      <c r="M1" s="49"/>
      <c r="N1" s="49"/>
      <c r="O1" s="49"/>
      <c r="P1" s="49"/>
      <c r="Q1" s="49"/>
      <c r="R1" s="49"/>
      <c r="S1" s="49"/>
    </row>
    <row r="2" spans="1:19" ht="13.5" thickBot="1">
      <c r="A2" s="4"/>
      <c r="B2" s="43" t="s">
        <v>58</v>
      </c>
      <c r="C2" s="2">
        <v>6.6</v>
      </c>
      <c r="G2" s="43" t="s">
        <v>59</v>
      </c>
      <c r="H2" s="2">
        <v>1.2</v>
      </c>
      <c r="I2" s="45"/>
      <c r="L2" s="49"/>
      <c r="M2" s="49"/>
      <c r="N2" s="49"/>
      <c r="O2" s="71" t="s">
        <v>10</v>
      </c>
      <c r="P2" s="47"/>
      <c r="Q2" s="47"/>
      <c r="R2" s="48"/>
      <c r="S2" s="49"/>
    </row>
    <row r="3" spans="1:19" ht="13.5" thickBot="1">
      <c r="A3" s="21"/>
      <c r="B3" s="24" t="s">
        <v>75</v>
      </c>
      <c r="C3" s="1">
        <v>0.1</v>
      </c>
      <c r="G3" s="24" t="s">
        <v>74</v>
      </c>
      <c r="H3" s="1">
        <v>0.1</v>
      </c>
      <c r="L3" s="49"/>
      <c r="M3" s="72"/>
      <c r="N3" s="73"/>
      <c r="O3" s="45"/>
      <c r="P3" s="49"/>
      <c r="Q3" s="49"/>
      <c r="R3" s="50"/>
      <c r="S3" s="49"/>
    </row>
    <row r="4" spans="1:19" ht="13.5" thickBot="1">
      <c r="A4" s="4"/>
      <c r="B4" s="24" t="s">
        <v>62</v>
      </c>
      <c r="C4" s="51">
        <f>1/C2</f>
        <v>0.15151515151515152</v>
      </c>
      <c r="G4" s="24" t="s">
        <v>60</v>
      </c>
      <c r="H4" s="51">
        <f>1/H2</f>
        <v>0.8333333333333334</v>
      </c>
      <c r="L4" s="49"/>
      <c r="M4" s="72"/>
      <c r="N4" s="73"/>
      <c r="O4" s="74" t="s">
        <v>64</v>
      </c>
      <c r="P4" s="75">
        <f>counter14a</f>
        <v>6.6</v>
      </c>
      <c r="Q4" s="49"/>
      <c r="R4" s="76"/>
      <c r="S4" s="49"/>
    </row>
    <row r="5" spans="1:19" ht="13.5" thickBot="1">
      <c r="A5" s="4"/>
      <c r="B5" s="58"/>
      <c r="L5" s="49"/>
      <c r="M5" s="73"/>
      <c r="N5" s="73"/>
      <c r="O5" s="77" t="s">
        <v>63</v>
      </c>
      <c r="P5" s="75">
        <f>counter14b</f>
        <v>1.2</v>
      </c>
      <c r="Q5" s="49"/>
      <c r="R5" s="76"/>
      <c r="S5" s="49"/>
    </row>
    <row r="6" spans="1:19" ht="13.5" thickBot="1">
      <c r="A6" s="4"/>
      <c r="B6" s="78" t="s">
        <v>61</v>
      </c>
      <c r="C6" s="79" t="s">
        <v>8</v>
      </c>
      <c r="D6" s="2">
        <v>6</v>
      </c>
      <c r="E6" s="2">
        <v>7</v>
      </c>
      <c r="F6" s="2">
        <v>8</v>
      </c>
      <c r="G6" s="2">
        <v>9</v>
      </c>
      <c r="H6" s="2">
        <v>10</v>
      </c>
      <c r="I6" s="2">
        <v>11</v>
      </c>
      <c r="L6" s="49"/>
      <c r="M6" s="80"/>
      <c r="N6" s="73"/>
      <c r="O6" s="81"/>
      <c r="P6" s="73"/>
      <c r="Q6" s="73"/>
      <c r="R6" s="76"/>
      <c r="S6" s="49"/>
    </row>
    <row r="7" spans="1:19" ht="12.75">
      <c r="A7" s="4"/>
      <c r="B7" s="82" t="s">
        <v>6</v>
      </c>
      <c r="C7" s="59" t="s">
        <v>37</v>
      </c>
      <c r="D7" s="17">
        <f aca="true" t="shared" si="0" ref="D7:I7">IF(D6*$H$2&gt;$C$2,$C$2/(D6*$H$2),#VALUE!)</f>
        <v>0.9166666666666667</v>
      </c>
      <c r="E7" s="17">
        <f t="shared" si="0"/>
        <v>0.7857142857142856</v>
      </c>
      <c r="F7" s="17">
        <f t="shared" si="0"/>
        <v>0.6875</v>
      </c>
      <c r="G7" s="17">
        <f t="shared" si="0"/>
        <v>0.6111111111111112</v>
      </c>
      <c r="H7" s="17">
        <f t="shared" si="0"/>
        <v>0.5499999999999999</v>
      </c>
      <c r="I7" s="17">
        <f t="shared" si="0"/>
        <v>0.5</v>
      </c>
      <c r="L7" s="49"/>
      <c r="M7" s="73"/>
      <c r="N7" s="73"/>
      <c r="O7" s="83" t="s">
        <v>11</v>
      </c>
      <c r="P7" s="73"/>
      <c r="Q7" s="73"/>
      <c r="R7" s="84" t="s">
        <v>12</v>
      </c>
      <c r="S7" s="49"/>
    </row>
    <row r="8" spans="1:19" ht="14.25">
      <c r="A8" s="4"/>
      <c r="B8" s="65" t="s">
        <v>51</v>
      </c>
      <c r="C8" s="43" t="s">
        <v>52</v>
      </c>
      <c r="D8" s="18">
        <f aca="true" t="shared" si="1" ref="D8:I8">IF(AND(D6*$H$2&gt;$C$2,D6&lt;=12),VLOOKUP(D6,$O$8:$R$19,4),#VALUE!)</f>
        <v>0.0016927171725275518</v>
      </c>
      <c r="E8" s="18">
        <f t="shared" si="1"/>
        <v>0.003237988652517488</v>
      </c>
      <c r="F8" s="18">
        <f t="shared" si="1"/>
        <v>0.0037802892246125435</v>
      </c>
      <c r="G8" s="18">
        <f t="shared" si="1"/>
        <v>0.0039765184355891724</v>
      </c>
      <c r="H8" s="18">
        <f t="shared" si="1"/>
        <v>0.0040478548430726196</v>
      </c>
      <c r="I8" s="18">
        <f t="shared" si="1"/>
        <v>0.004073431080285406</v>
      </c>
      <c r="L8" s="49"/>
      <c r="M8" s="73"/>
      <c r="N8" s="73"/>
      <c r="O8" s="81">
        <v>1</v>
      </c>
      <c r="P8" s="85">
        <v>1</v>
      </c>
      <c r="Q8" s="85">
        <f aca="true" t="shared" si="2" ref="Q8:Q19">($P$4/$P$5)^O8/(FACT(O8)*(1-($P$4/(O8*$P$5))))</f>
        <v>-1.2222222222222223</v>
      </c>
      <c r="R8" s="86">
        <f aca="true" t="shared" si="3" ref="R8:R19">1/(P8+Q8)</f>
        <v>-4.499999999999998</v>
      </c>
      <c r="S8" s="49"/>
    </row>
    <row r="9" spans="1:19" ht="14.25">
      <c r="A9" s="4"/>
      <c r="B9" s="82" t="s">
        <v>56</v>
      </c>
      <c r="C9" s="79" t="s">
        <v>54</v>
      </c>
      <c r="D9" s="18">
        <f aca="true" t="shared" si="4" ref="D9:I9">IF(D6*$H$2&gt;$C$2,($C$2/$H$2)^D6*D8/(FACT(D6)*(1-$C$2/(D6*$H$2))),#VALUE!)</f>
        <v>0.7809249288750221</v>
      </c>
      <c r="E9" s="18">
        <f t="shared" si="4"/>
        <v>0.456447038249912</v>
      </c>
      <c r="F9" s="18">
        <f t="shared" si="4"/>
        <v>0.25122103423992515</v>
      </c>
      <c r="G9" s="18">
        <f t="shared" si="4"/>
        <v>0.12977129481193453</v>
      </c>
      <c r="H9" s="18">
        <f t="shared" si="4"/>
        <v>0.06278794634962445</v>
      </c>
      <c r="I9" s="18">
        <f t="shared" si="4"/>
        <v>0.028433101462247517</v>
      </c>
      <c r="L9" s="49"/>
      <c r="M9" s="73"/>
      <c r="N9" s="73"/>
      <c r="O9" s="81">
        <v>2</v>
      </c>
      <c r="P9" s="85">
        <f aca="true" t="shared" si="5" ref="P9:P19">+P8+($P$4/$P$5)^(O9-1)/FACT(O9-1)</f>
        <v>6.5</v>
      </c>
      <c r="Q9" s="85">
        <f t="shared" si="2"/>
        <v>-8.642857142857142</v>
      </c>
      <c r="R9" s="86">
        <f t="shared" si="3"/>
        <v>-0.4666666666666668</v>
      </c>
      <c r="S9" s="49"/>
    </row>
    <row r="10" spans="1:19" ht="14.25">
      <c r="A10" s="4"/>
      <c r="B10" s="58" t="s">
        <v>2</v>
      </c>
      <c r="C10" s="30" t="s">
        <v>33</v>
      </c>
      <c r="D10" s="18">
        <f aca="true" t="shared" si="6" ref="D10:I10">IF(D6*$H$2&gt;$C$2,($C$2*$H$2*($C$2/$H$2)^D6)/(FACT(D6-1)*(D6*$H$2-$C$2)^2)*D8,#VALUE!)</f>
        <v>8.590174217625243</v>
      </c>
      <c r="E10" s="18">
        <f t="shared" si="6"/>
        <v>1.673639140249677</v>
      </c>
      <c r="F10" s="18">
        <f t="shared" si="6"/>
        <v>0.5526862753278351</v>
      </c>
      <c r="G10" s="18">
        <f t="shared" si="6"/>
        <v>0.2039263204187543</v>
      </c>
      <c r="H10" s="18">
        <f t="shared" si="6"/>
        <v>0.07674082331620767</v>
      </c>
      <c r="I10" s="18">
        <f t="shared" si="6"/>
        <v>0.02843310146224752</v>
      </c>
      <c r="L10" s="49"/>
      <c r="M10" s="73"/>
      <c r="N10" s="73"/>
      <c r="O10" s="81">
        <v>3</v>
      </c>
      <c r="P10" s="85">
        <f t="shared" si="5"/>
        <v>21.625</v>
      </c>
      <c r="Q10" s="85">
        <f t="shared" si="2"/>
        <v>-33.27499999999999</v>
      </c>
      <c r="R10" s="86">
        <f t="shared" si="3"/>
        <v>-0.0858369098712447</v>
      </c>
      <c r="S10" s="49"/>
    </row>
    <row r="11" spans="2:19" ht="14.25">
      <c r="B11" s="58" t="s">
        <v>3</v>
      </c>
      <c r="C11" s="30" t="s">
        <v>34</v>
      </c>
      <c r="D11" s="18">
        <f aca="true" t="shared" si="7" ref="D11:I11">IF(D6*$H$2&gt;$C$2,D10+$C$2/$H$2,#VALUE!)</f>
        <v>14.090174217625243</v>
      </c>
      <c r="E11" s="18">
        <f t="shared" si="7"/>
        <v>7.173639140249677</v>
      </c>
      <c r="F11" s="18">
        <f t="shared" si="7"/>
        <v>6.052686275327835</v>
      </c>
      <c r="G11" s="18">
        <f t="shared" si="7"/>
        <v>5.703926320418755</v>
      </c>
      <c r="H11" s="18">
        <f t="shared" si="7"/>
        <v>5.576740823316207</v>
      </c>
      <c r="I11" s="18">
        <f t="shared" si="7"/>
        <v>5.528433101462247</v>
      </c>
      <c r="L11" s="49"/>
      <c r="M11" s="73"/>
      <c r="N11" s="73"/>
      <c r="O11" s="81">
        <v>4</v>
      </c>
      <c r="P11" s="85">
        <f t="shared" si="5"/>
        <v>49.35416666666667</v>
      </c>
      <c r="Q11" s="85">
        <f t="shared" si="2"/>
        <v>-101.67361111111111</v>
      </c>
      <c r="R11" s="86">
        <f t="shared" si="3"/>
        <v>-0.019113352800637112</v>
      </c>
      <c r="S11" s="49"/>
    </row>
    <row r="12" spans="1:19" ht="14.25">
      <c r="A12" s="4"/>
      <c r="B12" s="58" t="s">
        <v>4</v>
      </c>
      <c r="C12" s="30" t="s">
        <v>35</v>
      </c>
      <c r="D12" s="18">
        <f aca="true" t="shared" si="8" ref="D12:I12">IF(D6*$H$2&gt;$C$2,D10/$C$2,#VALUE!)</f>
        <v>1.301541548125037</v>
      </c>
      <c r="E12" s="18">
        <f t="shared" si="8"/>
        <v>0.2535816879166177</v>
      </c>
      <c r="F12" s="18">
        <f t="shared" si="8"/>
        <v>0.08374034474664169</v>
      </c>
      <c r="G12" s="18">
        <f t="shared" si="8"/>
        <v>0.030897927336174896</v>
      </c>
      <c r="H12" s="18">
        <f t="shared" si="8"/>
        <v>0.011627397472152677</v>
      </c>
      <c r="I12" s="18">
        <f t="shared" si="8"/>
        <v>0.00430804567609811</v>
      </c>
      <c r="L12" s="49"/>
      <c r="M12" s="73"/>
      <c r="N12" s="73"/>
      <c r="O12" s="81">
        <v>5</v>
      </c>
      <c r="P12" s="85">
        <f t="shared" si="5"/>
        <v>87.48177083333334</v>
      </c>
      <c r="Q12" s="85">
        <f t="shared" si="2"/>
        <v>-419.4036458333339</v>
      </c>
      <c r="R12" s="86">
        <f t="shared" si="3"/>
        <v>-0.0030127571435296283</v>
      </c>
      <c r="S12" s="49"/>
    </row>
    <row r="13" spans="1:19" ht="14.25">
      <c r="A13" s="4"/>
      <c r="B13" s="58" t="s">
        <v>5</v>
      </c>
      <c r="C13" s="30" t="s">
        <v>36</v>
      </c>
      <c r="D13" s="18">
        <f aca="true" t="shared" si="9" ref="D13:I13">IF(D6*$H$2&gt;$C$2,D12+1/$H$2,#VALUE!)</f>
        <v>2.1348748814583702</v>
      </c>
      <c r="E13" s="18">
        <f t="shared" si="9"/>
        <v>1.086915021249951</v>
      </c>
      <c r="F13" s="18">
        <f t="shared" si="9"/>
        <v>0.9170736780799751</v>
      </c>
      <c r="G13" s="18">
        <f t="shared" si="9"/>
        <v>0.8642312606695083</v>
      </c>
      <c r="H13" s="18">
        <f t="shared" si="9"/>
        <v>0.8449607308054861</v>
      </c>
      <c r="I13" s="18">
        <f t="shared" si="9"/>
        <v>0.8376413790094315</v>
      </c>
      <c r="L13" s="49"/>
      <c r="M13" s="73"/>
      <c r="N13" s="73"/>
      <c r="O13" s="81">
        <v>6</v>
      </c>
      <c r="P13" s="85">
        <f t="shared" si="5"/>
        <v>129.42213541666666</v>
      </c>
      <c r="Q13" s="85">
        <f t="shared" si="2"/>
        <v>461.3440104166671</v>
      </c>
      <c r="R13" s="86">
        <f t="shared" si="3"/>
        <v>0.0016927171725275518</v>
      </c>
      <c r="S13" s="49"/>
    </row>
    <row r="14" spans="1:19" ht="15" thickBot="1">
      <c r="A14" s="4"/>
      <c r="B14" s="82" t="s">
        <v>9</v>
      </c>
      <c r="C14" s="79" t="s">
        <v>57</v>
      </c>
      <c r="D14" s="20">
        <f aca="true" t="shared" si="10" ref="D14:I14">IF(D6*$H$2&gt;$C$2,1/(D6*$H$2-$C$2),#VALUE!)</f>
        <v>1.6666666666666676</v>
      </c>
      <c r="E14" s="20">
        <f t="shared" si="10"/>
        <v>0.5555555555555554</v>
      </c>
      <c r="F14" s="20">
        <f t="shared" si="10"/>
        <v>0.3333333333333333</v>
      </c>
      <c r="G14" s="20">
        <f t="shared" si="10"/>
        <v>0.23809523809523814</v>
      </c>
      <c r="H14" s="20">
        <f t="shared" si="10"/>
        <v>0.18518518518518517</v>
      </c>
      <c r="I14" s="20">
        <f t="shared" si="10"/>
        <v>0.15151515151515152</v>
      </c>
      <c r="L14" s="49"/>
      <c r="M14" s="73"/>
      <c r="N14" s="73"/>
      <c r="O14" s="81">
        <v>7</v>
      </c>
      <c r="P14" s="85">
        <f t="shared" si="5"/>
        <v>167.86746961805557</v>
      </c>
      <c r="Q14" s="85">
        <f t="shared" si="2"/>
        <v>140.9662254050925</v>
      </c>
      <c r="R14" s="86">
        <f t="shared" si="3"/>
        <v>0.003237988652517488</v>
      </c>
      <c r="S14" s="49"/>
    </row>
    <row r="15" spans="1:19" ht="12.75">
      <c r="A15" s="4"/>
      <c r="B15" s="4"/>
      <c r="C15" s="49"/>
      <c r="L15" s="49"/>
      <c r="M15" s="73"/>
      <c r="N15" s="73"/>
      <c r="O15" s="81">
        <v>8</v>
      </c>
      <c r="P15" s="85">
        <f t="shared" si="5"/>
        <v>198.07451791914684</v>
      </c>
      <c r="Q15" s="85">
        <f t="shared" si="2"/>
        <v>66.45550626240079</v>
      </c>
      <c r="R15" s="86">
        <f t="shared" si="3"/>
        <v>0.0037802892246125435</v>
      </c>
      <c r="S15" s="49"/>
    </row>
    <row r="16" spans="1:19" ht="12.75">
      <c r="A16" s="4"/>
      <c r="B16" s="4"/>
      <c r="C16" s="49"/>
      <c r="L16" s="49"/>
      <c r="M16" s="73"/>
      <c r="N16" s="73"/>
      <c r="O16" s="81">
        <v>9</v>
      </c>
      <c r="P16" s="85">
        <f t="shared" si="5"/>
        <v>218.8418636261471</v>
      </c>
      <c r="Q16" s="85">
        <f t="shared" si="2"/>
        <v>32.63440039671468</v>
      </c>
      <c r="R16" s="86">
        <f t="shared" si="3"/>
        <v>0.0039765184355891724</v>
      </c>
      <c r="S16" s="49"/>
    </row>
    <row r="17" spans="1:19" ht="12.75">
      <c r="A17" s="4"/>
      <c r="B17" s="4"/>
      <c r="C17" s="49"/>
      <c r="L17" s="49"/>
      <c r="M17" s="73"/>
      <c r="N17" s="73"/>
      <c r="O17" s="81">
        <v>10</v>
      </c>
      <c r="P17" s="85">
        <f t="shared" si="5"/>
        <v>231.53301933598058</v>
      </c>
      <c r="Q17" s="85">
        <f t="shared" si="2"/>
        <v>15.511412534240923</v>
      </c>
      <c r="R17" s="86">
        <f t="shared" si="3"/>
        <v>0.0040478548430726196</v>
      </c>
      <c r="S17" s="49"/>
    </row>
    <row r="18" spans="1:19" ht="12.75">
      <c r="A18" s="4"/>
      <c r="B18" s="4"/>
      <c r="C18" s="49"/>
      <c r="L18" s="49"/>
      <c r="M18" s="73"/>
      <c r="N18" s="73"/>
      <c r="O18" s="81">
        <v>11</v>
      </c>
      <c r="P18" s="85">
        <f t="shared" si="5"/>
        <v>238.513154976389</v>
      </c>
      <c r="Q18" s="85">
        <f t="shared" si="2"/>
        <v>6.980135640408417</v>
      </c>
      <c r="R18" s="86">
        <f t="shared" si="3"/>
        <v>0.004073431080285406</v>
      </c>
      <c r="S18" s="49"/>
    </row>
    <row r="19" spans="1:19" ht="13.5" thickBot="1">
      <c r="A19" s="4"/>
      <c r="B19" s="4"/>
      <c r="C19" s="49"/>
      <c r="L19" s="49"/>
      <c r="M19" s="49"/>
      <c r="N19" s="49"/>
      <c r="O19" s="87">
        <v>12</v>
      </c>
      <c r="P19" s="88">
        <f t="shared" si="5"/>
        <v>242.0032227965932</v>
      </c>
      <c r="Q19" s="88">
        <f t="shared" si="2"/>
        <v>2.9531343094035614</v>
      </c>
      <c r="R19" s="89">
        <f t="shared" si="3"/>
        <v>0.0040823598612192095</v>
      </c>
      <c r="S19" s="49"/>
    </row>
    <row r="20" spans="1:3" ht="12.75">
      <c r="A20" s="4"/>
      <c r="B20" s="4"/>
      <c r="C20" s="49"/>
    </row>
    <row r="21" spans="1:2" ht="12.75">
      <c r="A21" s="4"/>
      <c r="B21" s="4"/>
    </row>
    <row r="23" spans="3:5" ht="12.75">
      <c r="C23" s="49"/>
      <c r="D23" s="30"/>
      <c r="E23" s="90"/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42" customWidth="1"/>
    <col min="2" max="2" width="25.57421875" style="42" customWidth="1"/>
    <col min="3" max="3" width="7.8515625" style="42" customWidth="1"/>
    <col min="4" max="8" width="11.421875" style="42" customWidth="1"/>
    <col min="9" max="9" width="6.8515625" style="42" customWidth="1"/>
    <col min="10" max="16384" width="9.140625" style="42" customWidth="1"/>
  </cols>
  <sheetData>
    <row r="1" spans="1:3" ht="13.5" thickBot="1">
      <c r="A1" s="3" t="s">
        <v>65</v>
      </c>
      <c r="B1" s="41"/>
      <c r="C1" s="41"/>
    </row>
    <row r="2" spans="1:18" ht="13.5" thickBot="1">
      <c r="A2" s="4"/>
      <c r="B2" s="43" t="s">
        <v>59</v>
      </c>
      <c r="C2" s="1">
        <v>1</v>
      </c>
      <c r="D2" s="45"/>
      <c r="O2" s="46" t="s">
        <v>10</v>
      </c>
      <c r="P2" s="47"/>
      <c r="Q2" s="47"/>
      <c r="R2" s="48"/>
    </row>
    <row r="3" spans="1:18" ht="13.5" thickBot="1">
      <c r="A3" s="4"/>
      <c r="B3" s="24" t="s">
        <v>74</v>
      </c>
      <c r="C3" s="1">
        <v>1</v>
      </c>
      <c r="G3" s="24" t="s">
        <v>68</v>
      </c>
      <c r="H3" s="1">
        <v>6</v>
      </c>
      <c r="M3" s="4"/>
      <c r="O3" s="45"/>
      <c r="P3" s="49"/>
      <c r="Q3" s="49"/>
      <c r="R3" s="50"/>
    </row>
    <row r="4" spans="1:18" ht="13.5" thickBot="1">
      <c r="A4" s="4"/>
      <c r="B4" s="24" t="s">
        <v>60</v>
      </c>
      <c r="C4" s="51">
        <f>1/C2</f>
        <v>1</v>
      </c>
      <c r="M4" s="4"/>
      <c r="O4" s="33" t="s">
        <v>0</v>
      </c>
      <c r="P4" s="52">
        <f>D7</f>
        <v>5</v>
      </c>
      <c r="Q4" s="49"/>
      <c r="R4" s="50"/>
    </row>
    <row r="5" spans="1:18" ht="13.5" thickBot="1">
      <c r="A5" s="4"/>
      <c r="E5" s="53" t="s">
        <v>67</v>
      </c>
      <c r="F5" s="54"/>
      <c r="G5" s="54"/>
      <c r="H5" s="55"/>
      <c r="K5" s="30"/>
      <c r="L5" s="38"/>
      <c r="M5" s="4"/>
      <c r="N5" s="4"/>
      <c r="O5" s="33" t="s">
        <v>1</v>
      </c>
      <c r="P5" s="52">
        <f>counter16</f>
        <v>1</v>
      </c>
      <c r="Q5" s="49"/>
      <c r="R5" s="50"/>
    </row>
    <row r="6" spans="1:18" ht="13.5" thickBot="1">
      <c r="A6" s="4"/>
      <c r="D6" s="27" t="s">
        <v>66</v>
      </c>
      <c r="E6" s="29">
        <v>1</v>
      </c>
      <c r="F6" s="29">
        <v>2</v>
      </c>
      <c r="G6" s="29">
        <v>3</v>
      </c>
      <c r="H6" s="29">
        <v>4</v>
      </c>
      <c r="N6" s="4"/>
      <c r="O6" s="8"/>
      <c r="P6" s="56"/>
      <c r="Q6" s="56"/>
      <c r="R6" s="57"/>
    </row>
    <row r="7" spans="1:18" ht="13.5" thickBot="1">
      <c r="A7" s="4"/>
      <c r="B7" s="58" t="s">
        <v>39</v>
      </c>
      <c r="C7" s="59" t="s">
        <v>31</v>
      </c>
      <c r="D7" s="17">
        <f>E7+F7+G7+H7</f>
        <v>5</v>
      </c>
      <c r="E7" s="1">
        <v>2</v>
      </c>
      <c r="F7" s="1">
        <v>2</v>
      </c>
      <c r="G7" s="1">
        <v>1</v>
      </c>
      <c r="H7" s="1"/>
      <c r="N7" s="4"/>
      <c r="O7" s="60" t="s">
        <v>11</v>
      </c>
      <c r="P7" s="56"/>
      <c r="Q7" s="56"/>
      <c r="R7" s="61" t="s">
        <v>12</v>
      </c>
    </row>
    <row r="8" spans="1:18" ht="12.75">
      <c r="A8" s="4"/>
      <c r="B8" s="58" t="s">
        <v>6</v>
      </c>
      <c r="C8" s="59" t="s">
        <v>37</v>
      </c>
      <c r="D8" s="18">
        <f>IF(H3*C2&gt;D7,D7/(H3*C2),#VALUE!)</f>
        <v>0.8333333333333334</v>
      </c>
      <c r="E8" s="62"/>
      <c r="F8" s="62"/>
      <c r="G8" s="62"/>
      <c r="H8" s="62"/>
      <c r="N8" s="4"/>
      <c r="O8" s="8">
        <v>1</v>
      </c>
      <c r="P8" s="63">
        <v>1</v>
      </c>
      <c r="Q8" s="63">
        <f aca="true" t="shared" si="0" ref="Q8:Q19">($P$4/$P$5)^O8/(FACT(O8)*(1-($P$4/(O8*$P$5))))</f>
        <v>-1.25</v>
      </c>
      <c r="R8" s="64">
        <f aca="true" t="shared" si="1" ref="R8:R19">1/(P8+Q8)</f>
        <v>-4</v>
      </c>
    </row>
    <row r="9" spans="2:18" ht="14.25">
      <c r="B9" s="65" t="s">
        <v>51</v>
      </c>
      <c r="C9" s="43" t="s">
        <v>52</v>
      </c>
      <c r="D9" s="18">
        <f>IF(AND(H3*C2&gt;D7,H3&lt;=12),VLOOKUP(H3,$O$8:$R$19,4),#VALUE!)</f>
        <v>0.004512126339537506</v>
      </c>
      <c r="E9" s="66"/>
      <c r="F9" s="66"/>
      <c r="G9" s="66"/>
      <c r="H9" s="66"/>
      <c r="N9" s="4"/>
      <c r="O9" s="8">
        <v>2</v>
      </c>
      <c r="P9" s="63">
        <f aca="true" t="shared" si="2" ref="P9:P19">+P8+($P$4/$P$5)^(O9-1)/FACT(O9-1)</f>
        <v>6</v>
      </c>
      <c r="Q9" s="63">
        <f t="shared" si="0"/>
        <v>-8.333333333333334</v>
      </c>
      <c r="R9" s="64">
        <f t="shared" si="1"/>
        <v>-0.42857142857142844</v>
      </c>
    </row>
    <row r="10" spans="2:18" ht="14.25">
      <c r="B10" s="58" t="s">
        <v>2</v>
      </c>
      <c r="C10" s="30" t="s">
        <v>33</v>
      </c>
      <c r="D10" s="18">
        <f>IF(H3*C2&gt;D7,(D7*C2*(D7/C2)^H3)/(FACT(H3-1)*(H3*C2-D7)^2)*D9,#VALUE!)</f>
        <v>2.9375822523030632</v>
      </c>
      <c r="E10" s="18">
        <f>IF(ISNUMBER(E7),E7*E12,"")</f>
        <v>0.2937582252303062</v>
      </c>
      <c r="F10" s="18">
        <f>IF(ISNUMBER(F7),F7*F12,"")</f>
        <v>0.8812746756909186</v>
      </c>
      <c r="G10" s="18">
        <f>IF(ISNUMBER(G7),G7*G12,"")</f>
        <v>1.7625493513818378</v>
      </c>
      <c r="H10" s="18">
        <f>IF(ISNUMBER(H7),H7*H12,"")</f>
      </c>
      <c r="N10" s="4"/>
      <c r="O10" s="8">
        <v>3</v>
      </c>
      <c r="P10" s="63">
        <f t="shared" si="2"/>
        <v>18.5</v>
      </c>
      <c r="Q10" s="63">
        <f t="shared" si="0"/>
        <v>-31.25</v>
      </c>
      <c r="R10" s="64">
        <f t="shared" si="1"/>
        <v>-0.0784313725490196</v>
      </c>
    </row>
    <row r="11" spans="2:18" ht="14.25">
      <c r="B11" s="58" t="s">
        <v>3</v>
      </c>
      <c r="C11" s="30" t="s">
        <v>34</v>
      </c>
      <c r="D11" s="18">
        <f>IF(H3*C2&gt;D7,D10+D7/C2,#VALUE!)</f>
        <v>7.937582252303063</v>
      </c>
      <c r="E11" s="18">
        <f>IF(ISNUMBER(E7),E7*E13,"")</f>
        <v>2.2937582252303064</v>
      </c>
      <c r="F11" s="18">
        <f>IF(ISNUMBER(F7),F7*F13,"")</f>
        <v>2.8812746756909187</v>
      </c>
      <c r="G11" s="18">
        <f>IF(ISNUMBER(G7),G7*G13,"")</f>
        <v>2.7625493513818378</v>
      </c>
      <c r="H11" s="18">
        <f>IF(ISNUMBER(H7),H7*H13,"")</f>
      </c>
      <c r="N11" s="4"/>
      <c r="O11" s="8">
        <v>4</v>
      </c>
      <c r="P11" s="63">
        <f t="shared" si="2"/>
        <v>39.33333333333333</v>
      </c>
      <c r="Q11" s="63">
        <f t="shared" si="0"/>
        <v>-104.16666666666667</v>
      </c>
      <c r="R11" s="64">
        <f t="shared" si="1"/>
        <v>-0.015424164524421592</v>
      </c>
    </row>
    <row r="12" spans="2:18" ht="14.25">
      <c r="B12" s="58" t="s">
        <v>4</v>
      </c>
      <c r="C12" s="30" t="s">
        <v>35</v>
      </c>
      <c r="D12" s="18">
        <f>D10/D7</f>
        <v>0.5875164504606126</v>
      </c>
      <c r="E12" s="18">
        <f>IF(ISNUMBER(E7),1/((D7/((1-D8)*D10))*(1-E7/(H3*C2))),"")</f>
        <v>0.1468791126151531</v>
      </c>
      <c r="F12" s="18">
        <f>IF(ISNUMBER(F7),1/((D7/((1-D8)*D10))*(1-E7/(H3*C2))*(1-(E7+F7)/(H3*C2))),"")</f>
        <v>0.4406373378454593</v>
      </c>
      <c r="G12" s="18">
        <f>IF(ISNUMBER(G7),1/((D7/((1-D8)*D10))*(1-(E7+F7)/(H3*C2))*(1-(E7+F7+G7)/(H3*C2))),"")</f>
        <v>1.7625493513818378</v>
      </c>
      <c r="H12" s="18">
        <f>IF(ISNUMBER(H7),1/((D7/((1-D8)*D10))*(1-(E7+F7+G7)/(H3*C2))*(1-(E7+F7+G7+H7)/(H3*C2))),"")</f>
      </c>
      <c r="N12" s="4"/>
      <c r="O12" s="8">
        <v>5</v>
      </c>
      <c r="P12" s="63">
        <f t="shared" si="2"/>
        <v>65.375</v>
      </c>
      <c r="Q12" s="63" t="e">
        <f t="shared" si="0"/>
        <v>#DIV/0!</v>
      </c>
      <c r="R12" s="64" t="e">
        <f t="shared" si="1"/>
        <v>#DIV/0!</v>
      </c>
    </row>
    <row r="13" spans="2:18" ht="15" thickBot="1">
      <c r="B13" s="58" t="s">
        <v>5</v>
      </c>
      <c r="C13" s="30" t="s">
        <v>36</v>
      </c>
      <c r="D13" s="20">
        <f>D12+1/C2</f>
        <v>1.5875164504606127</v>
      </c>
      <c r="E13" s="20">
        <f>IF(ISNUMBER(E7),E12+1/C2,"")</f>
        <v>1.1468791126151532</v>
      </c>
      <c r="F13" s="20">
        <f>IF(ISNUMBER(F7),F12+1/C2,"")</f>
        <v>1.4406373378454593</v>
      </c>
      <c r="G13" s="20">
        <f>IF(ISNUMBER(G7),G12+1/C2,"")</f>
        <v>2.7625493513818378</v>
      </c>
      <c r="H13" s="20">
        <f>IF(ISNUMBER(H7),+H12+1/C2,"")</f>
      </c>
      <c r="N13" s="4"/>
      <c r="O13" s="8">
        <v>6</v>
      </c>
      <c r="P13" s="63">
        <f t="shared" si="2"/>
        <v>91.41666666666667</v>
      </c>
      <c r="Q13" s="63">
        <f t="shared" si="0"/>
        <v>130.20833333333337</v>
      </c>
      <c r="R13" s="64">
        <f t="shared" si="1"/>
        <v>0.004512126339537506</v>
      </c>
    </row>
    <row r="14" spans="1:18" ht="12.75">
      <c r="A14" s="4"/>
      <c r="N14" s="4"/>
      <c r="O14" s="8">
        <v>7</v>
      </c>
      <c r="P14" s="63">
        <f t="shared" si="2"/>
        <v>113.11805555555556</v>
      </c>
      <c r="Q14" s="63">
        <f t="shared" si="0"/>
        <v>54.25347222222222</v>
      </c>
      <c r="R14" s="64">
        <f t="shared" si="1"/>
        <v>0.005974731863162044</v>
      </c>
    </row>
    <row r="15" spans="1:18" ht="12.75">
      <c r="A15" s="4"/>
      <c r="N15" s="4"/>
      <c r="O15" s="8">
        <v>8</v>
      </c>
      <c r="P15" s="63">
        <f t="shared" si="2"/>
        <v>128.61904761904762</v>
      </c>
      <c r="Q15" s="63">
        <f t="shared" si="0"/>
        <v>25.834986772486772</v>
      </c>
      <c r="R15" s="64">
        <f t="shared" si="1"/>
        <v>0.006474418126657946</v>
      </c>
    </row>
    <row r="16" spans="14:18" ht="12.75">
      <c r="N16" s="4"/>
      <c r="O16" s="8">
        <v>9</v>
      </c>
      <c r="P16" s="63">
        <f t="shared" si="2"/>
        <v>138.30716765873015</v>
      </c>
      <c r="Q16" s="63">
        <f t="shared" si="0"/>
        <v>12.110150049603174</v>
      </c>
      <c r="R16" s="64">
        <f t="shared" si="1"/>
        <v>0.006648170671006446</v>
      </c>
    </row>
    <row r="17" spans="14:18" ht="12.75">
      <c r="N17" s="4"/>
      <c r="O17" s="8">
        <v>10</v>
      </c>
      <c r="P17" s="63">
        <f t="shared" si="2"/>
        <v>143.68945656966488</v>
      </c>
      <c r="Q17" s="63">
        <f t="shared" si="0"/>
        <v>5.3822889109347445</v>
      </c>
      <c r="R17" s="64">
        <f t="shared" si="1"/>
        <v>0.006708179318462071</v>
      </c>
    </row>
    <row r="18" spans="11:18" ht="12.75">
      <c r="K18" s="4">
        <f>IF(K17="","",IF(K17+1&gt;12,"",K17+1))</f>
      </c>
      <c r="L18" s="67">
        <f>IF(K18="","",VLOOKUP(K18,O19:R19,4))</f>
      </c>
      <c r="M18" s="4"/>
      <c r="N18" s="4"/>
      <c r="O18" s="8">
        <v>11</v>
      </c>
      <c r="P18" s="63">
        <f t="shared" si="2"/>
        <v>146.38060102513225</v>
      </c>
      <c r="Q18" s="63">
        <f t="shared" si="0"/>
        <v>2.2426203795561435</v>
      </c>
      <c r="R18" s="64">
        <f t="shared" si="1"/>
        <v>0.006728423664543544</v>
      </c>
    </row>
    <row r="19" spans="15:18" ht="13.5" thickBot="1">
      <c r="O19" s="68">
        <v>12</v>
      </c>
      <c r="P19" s="69">
        <f t="shared" si="2"/>
        <v>147.60384850489015</v>
      </c>
      <c r="Q19" s="69">
        <f t="shared" si="0"/>
        <v>0.8737481998270691</v>
      </c>
      <c r="R19" s="70">
        <f t="shared" si="1"/>
        <v>0.006735022806091994</v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45.28125" style="4" customWidth="1"/>
    <col min="3" max="16384" width="9.140625" style="4" customWidth="1"/>
  </cols>
  <sheetData>
    <row r="1" ht="12.75">
      <c r="A1" s="3" t="s">
        <v>69</v>
      </c>
    </row>
    <row r="2" ht="13.5" thickBot="1">
      <c r="E2" s="5"/>
    </row>
    <row r="3" spans="2:7" ht="12.75">
      <c r="B3" s="6" t="s">
        <v>14</v>
      </c>
      <c r="C3" s="32" t="s">
        <v>15</v>
      </c>
      <c r="D3" s="39">
        <v>5</v>
      </c>
      <c r="E3" s="39">
        <v>5</v>
      </c>
      <c r="F3" s="39"/>
      <c r="G3" s="39"/>
    </row>
    <row r="4" spans="2:8" ht="12.75">
      <c r="B4" s="9" t="s">
        <v>7</v>
      </c>
      <c r="C4" s="33" t="s">
        <v>8</v>
      </c>
      <c r="D4" s="40">
        <v>1</v>
      </c>
      <c r="E4" s="40">
        <v>2</v>
      </c>
      <c r="F4" s="40"/>
      <c r="G4" s="40"/>
      <c r="H4"/>
    </row>
    <row r="5" spans="2:8" ht="12.75">
      <c r="B5" s="11" t="s">
        <v>16</v>
      </c>
      <c r="C5" s="33" t="s">
        <v>17</v>
      </c>
      <c r="D5" s="40">
        <v>10</v>
      </c>
      <c r="E5" s="40">
        <v>10</v>
      </c>
      <c r="F5" s="40"/>
      <c r="G5" s="40"/>
      <c r="H5"/>
    </row>
    <row r="6" spans="2:8" ht="13.5" thickBot="1">
      <c r="B6" s="12" t="s">
        <v>18</v>
      </c>
      <c r="C6" s="34" t="s">
        <v>19</v>
      </c>
      <c r="D6" s="40">
        <v>70</v>
      </c>
      <c r="E6" s="40">
        <v>70</v>
      </c>
      <c r="F6" s="40"/>
      <c r="G6" s="40"/>
      <c r="H6"/>
    </row>
    <row r="7" spans="2:8" ht="12.75">
      <c r="B7" s="14" t="s">
        <v>21</v>
      </c>
      <c r="C7" s="32" t="s">
        <v>22</v>
      </c>
      <c r="D7" s="22">
        <v>0.473</v>
      </c>
      <c r="E7" s="22">
        <v>0.082</v>
      </c>
      <c r="F7" s="22"/>
      <c r="G7" s="22"/>
      <c r="H7"/>
    </row>
    <row r="8" spans="2:8" ht="13.5" thickBot="1">
      <c r="B8" s="12" t="s">
        <v>23</v>
      </c>
      <c r="C8" s="34" t="s">
        <v>24</v>
      </c>
      <c r="D8" s="23">
        <v>0.92</v>
      </c>
      <c r="E8" s="23">
        <v>0.994</v>
      </c>
      <c r="F8" s="23"/>
      <c r="G8" s="23"/>
      <c r="H8"/>
    </row>
    <row r="9" spans="2:8" ht="13.5" thickBot="1">
      <c r="B9" s="15" t="s">
        <v>20</v>
      </c>
      <c r="C9" s="16" t="s">
        <v>70</v>
      </c>
      <c r="D9" s="31">
        <f>D5/(D5+D6)</f>
        <v>0.125</v>
      </c>
      <c r="E9" s="31">
        <f>E5/(E5+E6)</f>
        <v>0.125</v>
      </c>
      <c r="F9" s="31" t="e">
        <f>F5/(F5+F6)</f>
        <v>#DIV/0!</v>
      </c>
      <c r="G9" s="31" t="e">
        <f>G5/(G5+G6)</f>
        <v>#DIV/0!</v>
      </c>
      <c r="H9"/>
    </row>
    <row r="10" spans="2:8" ht="12.75">
      <c r="B10" s="6" t="s">
        <v>25</v>
      </c>
      <c r="C10" s="7" t="s">
        <v>26</v>
      </c>
      <c r="D10" s="35">
        <f>D3*(1-D8)</f>
        <v>0.3999999999999998</v>
      </c>
      <c r="E10" s="35">
        <f>E3*(1-E8)</f>
        <v>0.030000000000000027</v>
      </c>
      <c r="F10" s="35">
        <f>F3*(1-F8)</f>
        <v>0</v>
      </c>
      <c r="G10" s="35">
        <f>G3*(1-G8)</f>
        <v>0</v>
      </c>
      <c r="H10"/>
    </row>
    <row r="11" spans="2:8" ht="12.75">
      <c r="B11" s="11" t="s">
        <v>9</v>
      </c>
      <c r="C11" s="10" t="s">
        <v>13</v>
      </c>
      <c r="D11" s="36">
        <f>D5*(1-D8)/(D9*D8)</f>
        <v>6.956521739130431</v>
      </c>
      <c r="E11" s="36">
        <f>E5*(1-E8)/(E9*E8)</f>
        <v>0.48289738430583545</v>
      </c>
      <c r="F11" s="36" t="e">
        <f>F5*(1-F8)/(F9*F8)</f>
        <v>#DIV/0!</v>
      </c>
      <c r="G11" s="36" t="e">
        <f>G5*(1-G8)/(G9*G8)</f>
        <v>#DIV/0!</v>
      </c>
      <c r="H11"/>
    </row>
    <row r="12" spans="2:8" ht="12.75">
      <c r="B12" s="11" t="s">
        <v>27</v>
      </c>
      <c r="C12" s="10" t="s">
        <v>28</v>
      </c>
      <c r="D12" s="36">
        <f>D3*D8*(1-D9)</f>
        <v>4.025</v>
      </c>
      <c r="E12" s="36">
        <f>E3*E8*(1-E9)</f>
        <v>4.34875</v>
      </c>
      <c r="F12" s="36" t="e">
        <f>F3*F8*(1-F9)</f>
        <v>#DIV/0!</v>
      </c>
      <c r="G12" s="36" t="e">
        <f>G3*G8*(1-G9)</f>
        <v>#DIV/0!</v>
      </c>
      <c r="H12"/>
    </row>
    <row r="13" spans="2:8" ht="13.5" thickBot="1">
      <c r="B13" s="19" t="s">
        <v>29</v>
      </c>
      <c r="C13" s="13" t="s">
        <v>30</v>
      </c>
      <c r="D13" s="37">
        <f>D8*D3*D9</f>
        <v>0.5750000000000001</v>
      </c>
      <c r="E13" s="37">
        <f>E8*E3*E9</f>
        <v>0.62125</v>
      </c>
      <c r="F13" s="37" t="e">
        <f>F8*F3*F9</f>
        <v>#DIV/0!</v>
      </c>
      <c r="G13" s="37" t="e">
        <f>G8*G3*G9</f>
        <v>#DIV/0!</v>
      </c>
      <c r="H13"/>
    </row>
    <row r="14" ht="12.75">
      <c r="H14"/>
    </row>
    <row r="15" spans="3:4" ht="12.75">
      <c r="C15" s="25" t="s">
        <v>77</v>
      </c>
      <c r="D15" s="25"/>
    </row>
    <row r="16" spans="3:7" ht="13.5" thickBot="1">
      <c r="C16" s="25" t="s">
        <v>78</v>
      </c>
      <c r="D16" s="25"/>
      <c r="E16" s="25"/>
      <c r="F16" s="25"/>
      <c r="G16" s="25"/>
    </row>
    <row r="17" spans="2:8" ht="12.75">
      <c r="B17" s="24" t="s">
        <v>79</v>
      </c>
      <c r="C17" s="39">
        <v>10</v>
      </c>
      <c r="D17" s="27">
        <f>$C17*D4</f>
        <v>10</v>
      </c>
      <c r="E17" s="27">
        <f>$C17*E4</f>
        <v>20</v>
      </c>
      <c r="F17" s="27">
        <f>$C17*F4</f>
        <v>0</v>
      </c>
      <c r="G17" s="27">
        <f>$C17*G4</f>
        <v>0</v>
      </c>
      <c r="H17" s="25"/>
    </row>
    <row r="18" spans="2:7" ht="13.5" thickBot="1">
      <c r="B18" s="24" t="s">
        <v>80</v>
      </c>
      <c r="C18" s="40">
        <v>16</v>
      </c>
      <c r="D18" s="28">
        <f>$C18*(D3-D12)</f>
        <v>15.599999999999994</v>
      </c>
      <c r="E18" s="28">
        <f>$C18*(E3-E12)</f>
        <v>10.420000000000002</v>
      </c>
      <c r="F18" s="28" t="e">
        <f>$C18*(F3-F12)</f>
        <v>#DIV/0!</v>
      </c>
      <c r="G18" s="28" t="e">
        <f>$C18*(G3-G12)</f>
        <v>#DIV/0!</v>
      </c>
    </row>
    <row r="19" spans="2:7" ht="13.5" thickBot="1">
      <c r="B19" s="24" t="s">
        <v>81</v>
      </c>
      <c r="C19" s="26"/>
      <c r="D19" s="29">
        <f>D17+D18</f>
        <v>25.599999999999994</v>
      </c>
      <c r="E19" s="29">
        <f>E17+E18</f>
        <v>30.42</v>
      </c>
      <c r="F19" s="29" t="e">
        <f>F17+F18</f>
        <v>#DIV/0!</v>
      </c>
      <c r="G19" s="29" t="e">
        <f>G17+G18</f>
        <v>#DIV/0!</v>
      </c>
    </row>
    <row r="22" ht="12.75">
      <c r="B22" s="21" t="s">
        <v>76</v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130"/>
  <sheetViews>
    <sheetView workbookViewId="0" topLeftCell="A113">
      <selection activeCell="E114" sqref="E114:F119"/>
    </sheetView>
  </sheetViews>
  <sheetFormatPr defaultColWidth="9.140625" defaultRowHeight="12.75"/>
  <cols>
    <col min="1" max="1" width="6.00390625" style="108" customWidth="1"/>
    <col min="2" max="2" width="3.421875" style="103" customWidth="1"/>
    <col min="3" max="3" width="25.7109375" style="103" customWidth="1"/>
    <col min="4" max="16384" width="9.140625" style="103" customWidth="1"/>
  </cols>
  <sheetData>
    <row r="1" ht="12.75">
      <c r="A1" s="107" t="s">
        <v>88</v>
      </c>
    </row>
    <row r="4" spans="1:6" ht="13.5" thickBot="1">
      <c r="A4" s="109" t="s">
        <v>89</v>
      </c>
      <c r="B4" s="3" t="s">
        <v>48</v>
      </c>
      <c r="C4" s="41"/>
      <c r="D4" s="41"/>
      <c r="E4" s="42"/>
      <c r="F4" s="42"/>
    </row>
    <row r="5" spans="2:6" ht="13.5" thickBot="1">
      <c r="B5" s="4"/>
      <c r="C5" s="58" t="s">
        <v>39</v>
      </c>
      <c r="D5" s="59" t="s">
        <v>31</v>
      </c>
      <c r="E5" s="1">
        <v>15</v>
      </c>
      <c r="F5" s="42"/>
    </row>
    <row r="6" spans="2:6" ht="13.5" thickBot="1">
      <c r="B6" s="4"/>
      <c r="C6" s="21" t="s">
        <v>73</v>
      </c>
      <c r="D6" s="91" t="s">
        <v>71</v>
      </c>
      <c r="E6" s="1">
        <v>1</v>
      </c>
      <c r="F6" s="42"/>
    </row>
    <row r="7" spans="2:6" ht="13.5" thickBot="1">
      <c r="B7" s="4"/>
      <c r="C7" s="58" t="s">
        <v>49</v>
      </c>
      <c r="D7" s="24" t="s">
        <v>41</v>
      </c>
      <c r="E7" s="51">
        <v>0.06666666666666667</v>
      </c>
      <c r="F7" s="42"/>
    </row>
    <row r="8" spans="2:6" ht="13.5" thickBot="1">
      <c r="B8" s="4"/>
      <c r="C8" s="58" t="s">
        <v>38</v>
      </c>
      <c r="D8" s="59" t="s">
        <v>32</v>
      </c>
      <c r="E8" s="1">
        <v>20</v>
      </c>
      <c r="F8" s="49"/>
    </row>
    <row r="9" spans="2:6" ht="13.5" thickBot="1">
      <c r="B9" s="4"/>
      <c r="C9" s="21" t="s">
        <v>73</v>
      </c>
      <c r="D9" s="91" t="s">
        <v>72</v>
      </c>
      <c r="E9" s="1">
        <v>1</v>
      </c>
      <c r="F9" s="45"/>
    </row>
    <row r="10" spans="2:6" ht="13.5" thickBot="1">
      <c r="B10" s="4"/>
      <c r="C10" s="58" t="s">
        <v>50</v>
      </c>
      <c r="D10" s="24" t="s">
        <v>42</v>
      </c>
      <c r="E10" s="51">
        <v>0.05</v>
      </c>
      <c r="F10" s="42"/>
    </row>
    <row r="11" spans="2:6" ht="12.75">
      <c r="B11" s="4"/>
      <c r="C11" s="58"/>
      <c r="D11" s="24"/>
      <c r="E11" s="92"/>
      <c r="F11" s="42"/>
    </row>
    <row r="12" spans="2:6" ht="12.75">
      <c r="B12" s="4"/>
      <c r="C12" s="21"/>
      <c r="D12" s="42"/>
      <c r="E12" s="25" t="s">
        <v>53</v>
      </c>
      <c r="F12" s="93" t="s">
        <v>47</v>
      </c>
    </row>
    <row r="13" spans="2:6" ht="12.75">
      <c r="B13" s="4"/>
      <c r="C13" s="42"/>
      <c r="D13" s="42"/>
      <c r="E13" s="25" t="s">
        <v>45</v>
      </c>
      <c r="F13" s="93" t="s">
        <v>45</v>
      </c>
    </row>
    <row r="14" spans="2:6" ht="13.5" thickBot="1">
      <c r="B14" s="42"/>
      <c r="C14" s="42"/>
      <c r="D14" s="42"/>
      <c r="E14" s="25" t="s">
        <v>46</v>
      </c>
      <c r="F14" s="93" t="s">
        <v>46</v>
      </c>
    </row>
    <row r="15" spans="2:6" ht="12.75">
      <c r="B15" s="4"/>
      <c r="C15" s="58" t="s">
        <v>6</v>
      </c>
      <c r="D15" s="59" t="s">
        <v>37</v>
      </c>
      <c r="E15" s="94">
        <v>0.75</v>
      </c>
      <c r="F15" s="95">
        <v>0.75</v>
      </c>
    </row>
    <row r="16" spans="2:6" ht="14.25">
      <c r="B16" s="4"/>
      <c r="C16" s="21" t="s">
        <v>51</v>
      </c>
      <c r="D16" s="24" t="s">
        <v>52</v>
      </c>
      <c r="E16" s="96">
        <v>0.25</v>
      </c>
      <c r="F16" s="97">
        <v>0.25</v>
      </c>
    </row>
    <row r="17" spans="2:6" ht="14.25">
      <c r="B17" s="4"/>
      <c r="C17" s="58" t="s">
        <v>2</v>
      </c>
      <c r="D17" s="30" t="s">
        <v>33</v>
      </c>
      <c r="E17" s="96">
        <v>2.25</v>
      </c>
      <c r="F17" s="97">
        <v>1.125</v>
      </c>
    </row>
    <row r="18" spans="2:6" ht="14.25">
      <c r="B18" s="4"/>
      <c r="C18" s="58" t="s">
        <v>3</v>
      </c>
      <c r="D18" s="30" t="s">
        <v>34</v>
      </c>
      <c r="E18" s="96">
        <v>3</v>
      </c>
      <c r="F18" s="97">
        <v>1.875</v>
      </c>
    </row>
    <row r="19" spans="2:6" ht="14.25">
      <c r="B19" s="4"/>
      <c r="C19" s="58" t="s">
        <v>4</v>
      </c>
      <c r="D19" s="30" t="s">
        <v>35</v>
      </c>
      <c r="E19" s="96">
        <v>0.15</v>
      </c>
      <c r="F19" s="97">
        <v>0.075</v>
      </c>
    </row>
    <row r="20" spans="2:6" ht="15" thickBot="1">
      <c r="B20" s="42"/>
      <c r="C20" s="58" t="s">
        <v>5</v>
      </c>
      <c r="D20" s="30" t="s">
        <v>36</v>
      </c>
      <c r="E20" s="98">
        <v>0.2</v>
      </c>
      <c r="F20" s="99">
        <v>0.125</v>
      </c>
    </row>
    <row r="21" spans="2:6" ht="13.5" thickBot="1">
      <c r="B21" s="42"/>
      <c r="C21" s="58"/>
      <c r="D21" s="42"/>
      <c r="E21" s="42"/>
      <c r="F21" s="42"/>
    </row>
    <row r="22" spans="2:6" ht="13.5" thickBot="1">
      <c r="B22" s="42"/>
      <c r="C22" s="42"/>
      <c r="D22" s="24" t="s">
        <v>40</v>
      </c>
      <c r="E22" s="1">
        <v>4</v>
      </c>
      <c r="F22" s="42"/>
    </row>
    <row r="23" spans="2:6" ht="12.75">
      <c r="B23" s="42"/>
      <c r="C23" s="101" t="s">
        <v>90</v>
      </c>
      <c r="D23" s="30" t="s">
        <v>91</v>
      </c>
      <c r="E23" s="97">
        <v>0.0791015625</v>
      </c>
      <c r="F23" s="42"/>
    </row>
    <row r="24" spans="2:6" ht="13.5" thickBot="1">
      <c r="B24" s="42"/>
      <c r="C24" s="58" t="s">
        <v>92</v>
      </c>
      <c r="D24" s="30" t="s">
        <v>93</v>
      </c>
      <c r="E24" s="99">
        <v>0.68359375</v>
      </c>
      <c r="F24" s="42"/>
    </row>
    <row r="27" spans="1:6" ht="13.5" thickBot="1">
      <c r="A27" s="109" t="s">
        <v>94</v>
      </c>
      <c r="B27" s="3" t="s">
        <v>48</v>
      </c>
      <c r="C27" s="41"/>
      <c r="D27" s="41"/>
      <c r="E27" s="42"/>
      <c r="F27" s="42"/>
    </row>
    <row r="28" spans="2:6" ht="13.5" thickBot="1">
      <c r="B28" s="4"/>
      <c r="C28" s="58" t="s">
        <v>39</v>
      </c>
      <c r="D28" s="59" t="s">
        <v>31</v>
      </c>
      <c r="E28" s="1">
        <v>8</v>
      </c>
      <c r="F28" s="42"/>
    </row>
    <row r="29" spans="2:6" ht="13.5" thickBot="1">
      <c r="B29" s="4"/>
      <c r="C29" s="21" t="s">
        <v>73</v>
      </c>
      <c r="D29" s="91" t="s">
        <v>71</v>
      </c>
      <c r="E29" s="1">
        <v>1</v>
      </c>
      <c r="F29" s="42"/>
    </row>
    <row r="30" spans="2:6" ht="13.5" thickBot="1">
      <c r="B30" s="4"/>
      <c r="C30" s="58" t="s">
        <v>49</v>
      </c>
      <c r="D30" s="24" t="s">
        <v>41</v>
      </c>
      <c r="E30" s="51">
        <v>0.125</v>
      </c>
      <c r="F30" s="42"/>
    </row>
    <row r="31" spans="2:6" ht="13.5" thickBot="1">
      <c r="B31" s="4"/>
      <c r="C31" s="58" t="s">
        <v>38</v>
      </c>
      <c r="D31" s="59" t="s">
        <v>32</v>
      </c>
      <c r="E31" s="1">
        <v>12</v>
      </c>
      <c r="F31" s="49"/>
    </row>
    <row r="32" spans="2:6" ht="13.5" thickBot="1">
      <c r="B32" s="4"/>
      <c r="C32" s="21" t="s">
        <v>73</v>
      </c>
      <c r="D32" s="91" t="s">
        <v>72</v>
      </c>
      <c r="E32" s="1">
        <v>1</v>
      </c>
      <c r="F32" s="45"/>
    </row>
    <row r="33" spans="2:6" ht="13.5" thickBot="1">
      <c r="B33" s="4"/>
      <c r="C33" s="58" t="s">
        <v>50</v>
      </c>
      <c r="D33" s="24" t="s">
        <v>42</v>
      </c>
      <c r="E33" s="51">
        <v>0.08333333333333333</v>
      </c>
      <c r="F33" s="42"/>
    </row>
    <row r="34" spans="2:6" ht="12.75">
      <c r="B34" s="4"/>
      <c r="C34" s="58"/>
      <c r="D34" s="24"/>
      <c r="E34" s="92"/>
      <c r="F34" s="42"/>
    </row>
    <row r="35" spans="2:6" ht="12.75">
      <c r="B35" s="4"/>
      <c r="C35" s="21"/>
      <c r="D35" s="42"/>
      <c r="E35" s="25" t="s">
        <v>53</v>
      </c>
      <c r="F35" s="93" t="s">
        <v>47</v>
      </c>
    </row>
    <row r="36" spans="2:6" ht="12.75">
      <c r="B36" s="4"/>
      <c r="C36" s="42"/>
      <c r="D36" s="42"/>
      <c r="E36" s="25" t="s">
        <v>45</v>
      </c>
      <c r="F36" s="93" t="s">
        <v>45</v>
      </c>
    </row>
    <row r="37" spans="2:6" ht="13.5" thickBot="1">
      <c r="B37" s="42"/>
      <c r="C37" s="42"/>
      <c r="D37" s="42"/>
      <c r="E37" s="25" t="s">
        <v>46</v>
      </c>
      <c r="F37" s="93" t="s">
        <v>46</v>
      </c>
    </row>
    <row r="38" spans="2:6" ht="12.75">
      <c r="B38" s="4"/>
      <c r="C38" s="58" t="s">
        <v>6</v>
      </c>
      <c r="D38" s="59" t="s">
        <v>37</v>
      </c>
      <c r="E38" s="94">
        <v>0.6666666666666666</v>
      </c>
      <c r="F38" s="95">
        <v>0.6666666666666666</v>
      </c>
    </row>
    <row r="39" spans="2:6" ht="14.25">
      <c r="B39" s="4"/>
      <c r="C39" s="21" t="s">
        <v>51</v>
      </c>
      <c r="D39" s="24" t="s">
        <v>52</v>
      </c>
      <c r="E39" s="96">
        <v>0.33333333333333337</v>
      </c>
      <c r="F39" s="97">
        <v>0.33333333333333337</v>
      </c>
    </row>
    <row r="40" spans="2:6" ht="14.25">
      <c r="B40" s="4"/>
      <c r="C40" s="58" t="s">
        <v>2</v>
      </c>
      <c r="D40" s="30" t="s">
        <v>33</v>
      </c>
      <c r="E40" s="96">
        <v>1.3333333333333333</v>
      </c>
      <c r="F40" s="97">
        <v>0.6666666666666666</v>
      </c>
    </row>
    <row r="41" spans="2:6" ht="14.25">
      <c r="B41" s="4"/>
      <c r="C41" s="58" t="s">
        <v>3</v>
      </c>
      <c r="D41" s="30" t="s">
        <v>34</v>
      </c>
      <c r="E41" s="96">
        <v>2</v>
      </c>
      <c r="F41" s="97">
        <v>1.3333333333333333</v>
      </c>
    </row>
    <row r="42" spans="2:6" ht="14.25">
      <c r="B42" s="4"/>
      <c r="C42" s="58" t="s">
        <v>4</v>
      </c>
      <c r="D42" s="30" t="s">
        <v>35</v>
      </c>
      <c r="E42" s="96">
        <v>0.16666666666666666</v>
      </c>
      <c r="F42" s="97">
        <v>0.08333333333333333</v>
      </c>
    </row>
    <row r="43" spans="2:6" ht="15" thickBot="1">
      <c r="B43" s="42"/>
      <c r="C43" s="58" t="s">
        <v>5</v>
      </c>
      <c r="D43" s="30" t="s">
        <v>36</v>
      </c>
      <c r="E43" s="98">
        <v>0.25</v>
      </c>
      <c r="F43" s="99">
        <v>0.16666666666666666</v>
      </c>
    </row>
    <row r="44" spans="2:6" ht="13.5" thickBot="1">
      <c r="B44" s="42"/>
      <c r="C44" s="58"/>
      <c r="D44" s="42"/>
      <c r="E44" s="42"/>
      <c r="F44" s="42"/>
    </row>
    <row r="45" spans="2:6" ht="13.5" thickBot="1">
      <c r="B45" s="42"/>
      <c r="C45" s="42"/>
      <c r="D45" s="24" t="s">
        <v>40</v>
      </c>
      <c r="E45" s="1">
        <v>4</v>
      </c>
      <c r="F45" s="42"/>
    </row>
    <row r="46" spans="2:6" ht="12.75">
      <c r="B46" s="42"/>
      <c r="C46" s="101" t="s">
        <v>90</v>
      </c>
      <c r="D46" s="30" t="s">
        <v>91</v>
      </c>
      <c r="E46" s="97">
        <v>0.06584362139917696</v>
      </c>
      <c r="F46" s="42"/>
    </row>
    <row r="47" spans="2:6" ht="13.5" thickBot="1">
      <c r="B47" s="42"/>
      <c r="C47" s="58" t="s">
        <v>92</v>
      </c>
      <c r="D47" s="30" t="s">
        <v>93</v>
      </c>
      <c r="E47" s="99">
        <v>0.8024691358024691</v>
      </c>
      <c r="F47" s="42"/>
    </row>
    <row r="50" spans="1:10" ht="13.5" thickBot="1">
      <c r="A50" s="109" t="s">
        <v>95</v>
      </c>
      <c r="B50" s="3" t="s">
        <v>55</v>
      </c>
      <c r="C50" s="3"/>
      <c r="D50" s="41"/>
      <c r="E50" s="41"/>
      <c r="F50" s="42"/>
      <c r="G50" s="42"/>
      <c r="H50" s="42"/>
      <c r="I50" s="42"/>
      <c r="J50" s="42"/>
    </row>
    <row r="51" spans="2:10" ht="13.5" thickBot="1">
      <c r="B51" s="4"/>
      <c r="C51" s="43" t="s">
        <v>58</v>
      </c>
      <c r="D51" s="2">
        <v>6.6</v>
      </c>
      <c r="E51" s="42"/>
      <c r="F51" s="42"/>
      <c r="G51" s="42"/>
      <c r="H51" s="43" t="s">
        <v>59</v>
      </c>
      <c r="I51" s="2">
        <v>1.2</v>
      </c>
      <c r="J51" s="45"/>
    </row>
    <row r="52" spans="2:10" ht="13.5" thickBot="1">
      <c r="B52" s="21"/>
      <c r="C52" s="24" t="s">
        <v>75</v>
      </c>
      <c r="D52" s="1">
        <v>0.1</v>
      </c>
      <c r="E52" s="42"/>
      <c r="F52" s="42"/>
      <c r="G52" s="42"/>
      <c r="H52" s="24" t="s">
        <v>74</v>
      </c>
      <c r="I52" s="1">
        <v>0.1</v>
      </c>
      <c r="J52" s="42"/>
    </row>
    <row r="53" spans="2:10" ht="13.5" thickBot="1">
      <c r="B53" s="4"/>
      <c r="C53" s="24" t="s">
        <v>62</v>
      </c>
      <c r="D53" s="51">
        <v>0.15151515151515152</v>
      </c>
      <c r="E53" s="42"/>
      <c r="F53" s="42"/>
      <c r="G53" s="42"/>
      <c r="H53" s="24" t="s">
        <v>60</v>
      </c>
      <c r="I53" s="51">
        <v>0.8333333333333334</v>
      </c>
      <c r="J53" s="42"/>
    </row>
    <row r="54" spans="2:10" ht="13.5" thickBot="1">
      <c r="B54" s="4"/>
      <c r="C54" s="58"/>
      <c r="D54" s="42"/>
      <c r="E54" s="42"/>
      <c r="F54" s="42"/>
      <c r="G54" s="42"/>
      <c r="H54" s="42"/>
      <c r="I54" s="42"/>
      <c r="J54" s="42"/>
    </row>
    <row r="55" spans="2:10" ht="13.5" thickBot="1">
      <c r="B55" s="4"/>
      <c r="C55" s="78" t="s">
        <v>61</v>
      </c>
      <c r="D55" s="79" t="s">
        <v>8</v>
      </c>
      <c r="E55" s="2">
        <v>6</v>
      </c>
      <c r="F55" s="2">
        <v>7</v>
      </c>
      <c r="G55" s="2">
        <v>8</v>
      </c>
      <c r="H55" s="2">
        <v>9</v>
      </c>
      <c r="I55" s="2">
        <v>10</v>
      </c>
      <c r="J55" s="2">
        <v>11</v>
      </c>
    </row>
    <row r="56" spans="2:10" ht="12.75">
      <c r="B56" s="4"/>
      <c r="C56" s="82" t="s">
        <v>6</v>
      </c>
      <c r="D56" s="59" t="s">
        <v>37</v>
      </c>
      <c r="E56" s="17">
        <v>0.9166666666666667</v>
      </c>
      <c r="F56" s="17">
        <v>0.7857142857142856</v>
      </c>
      <c r="G56" s="17">
        <v>0.6875</v>
      </c>
      <c r="H56" s="17">
        <v>0.6111111111111112</v>
      </c>
      <c r="I56" s="17">
        <v>0.55</v>
      </c>
      <c r="J56" s="17">
        <v>0.5</v>
      </c>
    </row>
    <row r="57" spans="2:10" ht="14.25">
      <c r="B57" s="4"/>
      <c r="C57" s="65" t="s">
        <v>51</v>
      </c>
      <c r="D57" s="43" t="s">
        <v>52</v>
      </c>
      <c r="E57" s="18">
        <v>0.0016927171725275518</v>
      </c>
      <c r="F57" s="18">
        <v>0.003237988652517488</v>
      </c>
      <c r="G57" s="18">
        <v>0.0037802892246125435</v>
      </c>
      <c r="H57" s="18">
        <v>0.0039765184355891724</v>
      </c>
      <c r="I57" s="18">
        <v>0.0040478548430726196</v>
      </c>
      <c r="J57" s="18">
        <v>0.004073431080285406</v>
      </c>
    </row>
    <row r="58" spans="2:10" ht="14.25">
      <c r="B58" s="4"/>
      <c r="C58" s="82" t="s">
        <v>56</v>
      </c>
      <c r="D58" s="79" t="s">
        <v>54</v>
      </c>
      <c r="E58" s="18">
        <v>0.7809249288750221</v>
      </c>
      <c r="F58" s="18">
        <v>0.456447038249912</v>
      </c>
      <c r="G58" s="18">
        <v>0.25122103423992515</v>
      </c>
      <c r="H58" s="18">
        <v>0.12977129481193453</v>
      </c>
      <c r="I58" s="18">
        <v>0.06278794634962445</v>
      </c>
      <c r="J58" s="18">
        <v>0.028433101462247517</v>
      </c>
    </row>
    <row r="59" spans="2:10" ht="14.25">
      <c r="B59" s="4"/>
      <c r="C59" s="58" t="s">
        <v>2</v>
      </c>
      <c r="D59" s="30" t="s">
        <v>33</v>
      </c>
      <c r="E59" s="18">
        <v>8.590174217625243</v>
      </c>
      <c r="F59" s="18">
        <v>1.673639140249677</v>
      </c>
      <c r="G59" s="18">
        <v>0.5526862753278351</v>
      </c>
      <c r="H59" s="18">
        <v>0.2039263204187543</v>
      </c>
      <c r="I59" s="18">
        <v>0.07674082331620767</v>
      </c>
      <c r="J59" s="18">
        <v>0.02843310146224752</v>
      </c>
    </row>
    <row r="60" spans="2:10" ht="14.25">
      <c r="B60" s="42"/>
      <c r="C60" s="58" t="s">
        <v>3</v>
      </c>
      <c r="D60" s="30" t="s">
        <v>34</v>
      </c>
      <c r="E60" s="18">
        <v>14.090174217625243</v>
      </c>
      <c r="F60" s="18">
        <v>7.173639140249677</v>
      </c>
      <c r="G60" s="18">
        <v>6.052686275327835</v>
      </c>
      <c r="H60" s="18">
        <v>5.703926320418755</v>
      </c>
      <c r="I60" s="18">
        <v>5.576740823316207</v>
      </c>
      <c r="J60" s="18">
        <v>5.528433101462247</v>
      </c>
    </row>
    <row r="61" spans="2:10" ht="14.25">
      <c r="B61" s="4"/>
      <c r="C61" s="58" t="s">
        <v>4</v>
      </c>
      <c r="D61" s="30" t="s">
        <v>35</v>
      </c>
      <c r="E61" s="18">
        <v>1.301541548125037</v>
      </c>
      <c r="F61" s="18">
        <v>0.2535816879166177</v>
      </c>
      <c r="G61" s="18">
        <v>0.08374034474664169</v>
      </c>
      <c r="H61" s="18">
        <v>0.030897927336174896</v>
      </c>
      <c r="I61" s="18">
        <v>0.011627397472152677</v>
      </c>
      <c r="J61" s="18">
        <v>0.00430804567609811</v>
      </c>
    </row>
    <row r="62" spans="2:10" ht="14.25">
      <c r="B62" s="4"/>
      <c r="C62" s="58" t="s">
        <v>5</v>
      </c>
      <c r="D62" s="30" t="s">
        <v>36</v>
      </c>
      <c r="E62" s="18">
        <v>2.1348748814583702</v>
      </c>
      <c r="F62" s="18">
        <v>1.086915021249951</v>
      </c>
      <c r="G62" s="18">
        <v>0.9170736780799751</v>
      </c>
      <c r="H62" s="18">
        <v>0.8642312606695083</v>
      </c>
      <c r="I62" s="18">
        <v>0.8449607308054861</v>
      </c>
      <c r="J62" s="18">
        <v>0.8376413790094315</v>
      </c>
    </row>
    <row r="63" spans="2:10" ht="15" thickBot="1">
      <c r="B63" s="4"/>
      <c r="C63" s="82" t="s">
        <v>9</v>
      </c>
      <c r="D63" s="79" t="s">
        <v>57</v>
      </c>
      <c r="E63" s="20">
        <v>1.6666666666666676</v>
      </c>
      <c r="F63" s="20">
        <v>0.5555555555555554</v>
      </c>
      <c r="G63" s="20">
        <v>0.3333333333333333</v>
      </c>
      <c r="H63" s="20">
        <v>0.23809523809523814</v>
      </c>
      <c r="I63" s="20">
        <v>0.18518518518518517</v>
      </c>
      <c r="J63" s="20">
        <v>0.15151515151515152</v>
      </c>
    </row>
    <row r="66" spans="1:10" ht="13.5" thickBot="1">
      <c r="A66" s="109" t="s">
        <v>96</v>
      </c>
      <c r="B66" s="3" t="s">
        <v>55</v>
      </c>
      <c r="C66" s="3"/>
      <c r="D66" s="41"/>
      <c r="E66" s="41"/>
      <c r="F66" s="42"/>
      <c r="G66" s="42"/>
      <c r="H66" s="42"/>
      <c r="I66" s="42"/>
      <c r="J66" s="42"/>
    </row>
    <row r="67" spans="2:10" ht="13.5" thickBot="1">
      <c r="B67" s="4"/>
      <c r="C67" s="43" t="s">
        <v>58</v>
      </c>
      <c r="D67" s="2">
        <v>4.8</v>
      </c>
      <c r="E67" s="42"/>
      <c r="F67" s="42"/>
      <c r="G67" s="42"/>
      <c r="H67" s="43" t="s">
        <v>59</v>
      </c>
      <c r="I67" s="2">
        <v>1.5</v>
      </c>
      <c r="J67" s="45"/>
    </row>
    <row r="68" spans="2:10" ht="13.5" thickBot="1">
      <c r="B68" s="21"/>
      <c r="C68" s="24" t="s">
        <v>75</v>
      </c>
      <c r="D68" s="1">
        <v>0.1</v>
      </c>
      <c r="E68" s="42"/>
      <c r="F68" s="42"/>
      <c r="G68" s="42"/>
      <c r="H68" s="24" t="s">
        <v>74</v>
      </c>
      <c r="I68" s="1">
        <v>0.1</v>
      </c>
      <c r="J68" s="42"/>
    </row>
    <row r="69" spans="2:10" ht="13.5" thickBot="1">
      <c r="B69" s="4"/>
      <c r="C69" s="24" t="s">
        <v>62</v>
      </c>
      <c r="D69" s="51">
        <v>0.20833333333333334</v>
      </c>
      <c r="E69" s="42"/>
      <c r="F69" s="42"/>
      <c r="G69" s="42"/>
      <c r="H69" s="24" t="s">
        <v>60</v>
      </c>
      <c r="I69" s="51">
        <v>0.6666666666666666</v>
      </c>
      <c r="J69" s="42"/>
    </row>
    <row r="70" spans="2:10" ht="13.5" thickBot="1">
      <c r="B70" s="4"/>
      <c r="C70" s="58"/>
      <c r="D70" s="42"/>
      <c r="E70" s="42"/>
      <c r="F70" s="42"/>
      <c r="G70" s="42"/>
      <c r="H70" s="42"/>
      <c r="I70" s="42"/>
      <c r="J70" s="42"/>
    </row>
    <row r="71" spans="2:10" ht="13.5" thickBot="1">
      <c r="B71" s="4"/>
      <c r="C71" s="78" t="s">
        <v>61</v>
      </c>
      <c r="D71" s="79" t="s">
        <v>8</v>
      </c>
      <c r="E71" s="2">
        <v>4</v>
      </c>
      <c r="F71" s="2">
        <v>5</v>
      </c>
      <c r="G71" s="2">
        <v>6</v>
      </c>
      <c r="H71" s="2">
        <v>7</v>
      </c>
      <c r="I71" s="2">
        <v>8</v>
      </c>
      <c r="J71" s="2">
        <v>9</v>
      </c>
    </row>
    <row r="72" spans="2:10" ht="12.75">
      <c r="B72" s="4"/>
      <c r="C72" s="82" t="s">
        <v>6</v>
      </c>
      <c r="D72" s="59" t="s">
        <v>37</v>
      </c>
      <c r="E72" s="17">
        <v>0.8</v>
      </c>
      <c r="F72" s="17">
        <v>0.64</v>
      </c>
      <c r="G72" s="17">
        <v>0.5333333333333333</v>
      </c>
      <c r="H72" s="17">
        <v>0.45714285714285713</v>
      </c>
      <c r="I72" s="17">
        <v>0.4</v>
      </c>
      <c r="J72" s="17">
        <v>0.35555555555555557</v>
      </c>
    </row>
    <row r="73" spans="2:10" ht="14.25">
      <c r="B73" s="4"/>
      <c r="C73" s="65" t="s">
        <v>51</v>
      </c>
      <c r="D73" s="43" t="s">
        <v>52</v>
      </c>
      <c r="E73" s="18">
        <v>0.02730251183108847</v>
      </c>
      <c r="F73" s="18">
        <v>0.037150373705240686</v>
      </c>
      <c r="G73" s="18">
        <v>0.03977366737759257</v>
      </c>
      <c r="H73" s="18">
        <v>0.04049607834272232</v>
      </c>
      <c r="I73" s="18">
        <v>0.04069317488207617</v>
      </c>
      <c r="J73" s="18">
        <v>0.04074514545420264</v>
      </c>
    </row>
    <row r="74" spans="2:10" ht="14.25">
      <c r="B74" s="4"/>
      <c r="C74" s="82" t="s">
        <v>56</v>
      </c>
      <c r="D74" s="79" t="s">
        <v>54</v>
      </c>
      <c r="E74" s="18">
        <v>0.5964324717874043</v>
      </c>
      <c r="F74" s="18">
        <v>0.28855548339515885</v>
      </c>
      <c r="G74" s="18">
        <v>0.12710312546781405</v>
      </c>
      <c r="H74" s="18">
        <v>0.05085652985328834</v>
      </c>
      <c r="I74" s="18">
        <v>0.018494799501473612</v>
      </c>
      <c r="J74" s="18">
        <v>0.00613023552303232</v>
      </c>
    </row>
    <row r="75" spans="2:10" ht="14.25">
      <c r="B75" s="4"/>
      <c r="C75" s="58" t="s">
        <v>2</v>
      </c>
      <c r="D75" s="30" t="s">
        <v>33</v>
      </c>
      <c r="E75" s="18">
        <v>2.385729887149617</v>
      </c>
      <c r="F75" s="18">
        <v>0.5129875260358377</v>
      </c>
      <c r="G75" s="18">
        <v>0.14526071482035888</v>
      </c>
      <c r="H75" s="18">
        <v>0.04282655145540071</v>
      </c>
      <c r="I75" s="18">
        <v>0.012329866334315744</v>
      </c>
      <c r="J75" s="18">
        <v>0.0033821989092592116</v>
      </c>
    </row>
    <row r="76" spans="2:10" ht="14.25">
      <c r="B76" s="42"/>
      <c r="C76" s="58" t="s">
        <v>3</v>
      </c>
      <c r="D76" s="30" t="s">
        <v>34</v>
      </c>
      <c r="E76" s="18">
        <v>5.585729887149617</v>
      </c>
      <c r="F76" s="18">
        <v>3.7129875260358376</v>
      </c>
      <c r="G76" s="18">
        <v>3.3452607148203586</v>
      </c>
      <c r="H76" s="18">
        <v>3.2428265514554004</v>
      </c>
      <c r="I76" s="18">
        <v>3.2123298663343154</v>
      </c>
      <c r="J76" s="18">
        <v>3.203382198909259</v>
      </c>
    </row>
    <row r="77" spans="2:10" ht="14.25">
      <c r="B77" s="4"/>
      <c r="C77" s="58" t="s">
        <v>4</v>
      </c>
      <c r="D77" s="30" t="s">
        <v>35</v>
      </c>
      <c r="E77" s="18">
        <v>0.49702705982283685</v>
      </c>
      <c r="F77" s="18">
        <v>0.1068724012574662</v>
      </c>
      <c r="G77" s="18">
        <v>0.0302626489209081</v>
      </c>
      <c r="H77" s="18">
        <v>0.008922198219875149</v>
      </c>
      <c r="I77" s="18">
        <v>0.002568722152982447</v>
      </c>
      <c r="J77" s="18">
        <v>0.0007046247727623358</v>
      </c>
    </row>
    <row r="78" spans="2:10" ht="14.25">
      <c r="B78" s="4"/>
      <c r="C78" s="58" t="s">
        <v>5</v>
      </c>
      <c r="D78" s="30" t="s">
        <v>36</v>
      </c>
      <c r="E78" s="18">
        <v>1.1636937264895035</v>
      </c>
      <c r="F78" s="18">
        <v>0.7735390679241329</v>
      </c>
      <c r="G78" s="18">
        <v>0.6969293155875748</v>
      </c>
      <c r="H78" s="18">
        <v>0.6755888648865418</v>
      </c>
      <c r="I78" s="18">
        <v>0.6692353888196491</v>
      </c>
      <c r="J78" s="18">
        <v>0.667371291439429</v>
      </c>
    </row>
    <row r="79" spans="2:10" ht="15" thickBot="1">
      <c r="B79" s="4"/>
      <c r="C79" s="82" t="s">
        <v>9</v>
      </c>
      <c r="D79" s="79" t="s">
        <v>57</v>
      </c>
      <c r="E79" s="20">
        <v>0.8333333333333333</v>
      </c>
      <c r="F79" s="20">
        <v>0.37037037037037035</v>
      </c>
      <c r="G79" s="20">
        <v>0.23809523809523808</v>
      </c>
      <c r="H79" s="20">
        <v>0.17543859649122806</v>
      </c>
      <c r="I79" s="20">
        <v>0.1388888888888889</v>
      </c>
      <c r="J79" s="20">
        <v>0.1149425287356322</v>
      </c>
    </row>
    <row r="82" spans="1:9" ht="13.5" thickBot="1">
      <c r="A82" s="109" t="s">
        <v>98</v>
      </c>
      <c r="B82" s="3" t="s">
        <v>65</v>
      </c>
      <c r="C82" s="41"/>
      <c r="D82" s="41"/>
      <c r="E82" s="42"/>
      <c r="F82" s="42"/>
      <c r="G82" s="42"/>
      <c r="H82" s="42"/>
      <c r="I82" s="42"/>
    </row>
    <row r="83" spans="2:9" ht="13.5" thickBot="1">
      <c r="B83" s="4"/>
      <c r="C83" s="43" t="s">
        <v>59</v>
      </c>
      <c r="D83" s="1">
        <v>1</v>
      </c>
      <c r="E83" s="45"/>
      <c r="F83" s="42"/>
      <c r="G83" s="42"/>
      <c r="H83" s="42"/>
      <c r="I83" s="42"/>
    </row>
    <row r="84" spans="2:9" ht="13.5" thickBot="1">
      <c r="B84" s="4"/>
      <c r="C84" s="24" t="s">
        <v>74</v>
      </c>
      <c r="D84" s="1">
        <v>1</v>
      </c>
      <c r="E84" s="42"/>
      <c r="F84" s="42"/>
      <c r="G84" s="42"/>
      <c r="H84" s="24" t="s">
        <v>68</v>
      </c>
      <c r="I84" s="1">
        <v>6</v>
      </c>
    </row>
    <row r="85" spans="2:9" ht="13.5" thickBot="1">
      <c r="B85" s="4"/>
      <c r="C85" s="24" t="s">
        <v>60</v>
      </c>
      <c r="D85" s="51">
        <v>1</v>
      </c>
      <c r="E85" s="42"/>
      <c r="F85" s="42"/>
      <c r="G85" s="42"/>
      <c r="H85" s="42"/>
      <c r="I85" s="42"/>
    </row>
    <row r="86" spans="2:9" ht="13.5" thickBot="1">
      <c r="B86" s="4"/>
      <c r="C86" s="42"/>
      <c r="D86" s="42"/>
      <c r="E86" s="42"/>
      <c r="F86" s="53" t="s">
        <v>67</v>
      </c>
      <c r="G86" s="54"/>
      <c r="H86" s="54"/>
      <c r="I86" s="55"/>
    </row>
    <row r="87" spans="2:9" ht="13.5" thickBot="1">
      <c r="B87" s="4"/>
      <c r="C87" s="42"/>
      <c r="D87" s="42"/>
      <c r="E87" s="27" t="s">
        <v>66</v>
      </c>
      <c r="F87" s="29">
        <v>1</v>
      </c>
      <c r="G87" s="29">
        <v>2</v>
      </c>
      <c r="H87" s="29">
        <v>3</v>
      </c>
      <c r="I87" s="29">
        <v>4</v>
      </c>
    </row>
    <row r="88" spans="2:9" ht="13.5" thickBot="1">
      <c r="B88" s="4"/>
      <c r="C88" s="58" t="s">
        <v>39</v>
      </c>
      <c r="D88" s="59" t="s">
        <v>31</v>
      </c>
      <c r="E88" s="17">
        <v>5</v>
      </c>
      <c r="F88" s="1">
        <v>2</v>
      </c>
      <c r="G88" s="1">
        <v>2</v>
      </c>
      <c r="H88" s="1">
        <v>1</v>
      </c>
      <c r="I88" s="1"/>
    </row>
    <row r="89" spans="2:9" ht="12.75">
      <c r="B89" s="4"/>
      <c r="C89" s="58" t="s">
        <v>6</v>
      </c>
      <c r="D89" s="59" t="s">
        <v>37</v>
      </c>
      <c r="E89" s="18">
        <v>0.8333333333333334</v>
      </c>
      <c r="F89" s="62"/>
      <c r="G89" s="62"/>
      <c r="H89" s="62"/>
      <c r="I89" s="62"/>
    </row>
    <row r="90" spans="2:9" ht="14.25">
      <c r="B90" s="42"/>
      <c r="C90" s="65" t="s">
        <v>51</v>
      </c>
      <c r="D90" s="43" t="s">
        <v>52</v>
      </c>
      <c r="E90" s="18">
        <v>0.004512126339537506</v>
      </c>
      <c r="F90" s="66"/>
      <c r="G90" s="66"/>
      <c r="H90" s="66"/>
      <c r="I90" s="66"/>
    </row>
    <row r="91" spans="2:9" ht="14.25">
      <c r="B91" s="42"/>
      <c r="C91" s="58" t="s">
        <v>2</v>
      </c>
      <c r="D91" s="30" t="s">
        <v>33</v>
      </c>
      <c r="E91" s="18">
        <v>2.9375822523030632</v>
      </c>
      <c r="F91" s="18">
        <v>0.2937582252303062</v>
      </c>
      <c r="G91" s="18">
        <v>0.8812746756909186</v>
      </c>
      <c r="H91" s="18">
        <v>1.7625493513818378</v>
      </c>
      <c r="I91" s="18" t="s">
        <v>97</v>
      </c>
    </row>
    <row r="92" spans="2:9" ht="14.25">
      <c r="B92" s="42"/>
      <c r="C92" s="58" t="s">
        <v>3</v>
      </c>
      <c r="D92" s="30" t="s">
        <v>34</v>
      </c>
      <c r="E92" s="18">
        <v>7.937582252303063</v>
      </c>
      <c r="F92" s="18">
        <v>2.2937582252303064</v>
      </c>
      <c r="G92" s="18">
        <v>2.8812746756909187</v>
      </c>
      <c r="H92" s="18">
        <v>2.7625493513818378</v>
      </c>
      <c r="I92" s="18" t="s">
        <v>97</v>
      </c>
    </row>
    <row r="93" spans="2:9" ht="14.25">
      <c r="B93" s="42"/>
      <c r="C93" s="58" t="s">
        <v>4</v>
      </c>
      <c r="D93" s="30" t="s">
        <v>35</v>
      </c>
      <c r="E93" s="18">
        <v>0.5875164504606126</v>
      </c>
      <c r="F93" s="18">
        <v>0.1468791126151531</v>
      </c>
      <c r="G93" s="18">
        <v>0.4406373378454593</v>
      </c>
      <c r="H93" s="18">
        <v>1.7625493513818378</v>
      </c>
      <c r="I93" s="18" t="s">
        <v>97</v>
      </c>
    </row>
    <row r="94" spans="2:9" ht="15" thickBot="1">
      <c r="B94" s="42"/>
      <c r="C94" s="58" t="s">
        <v>5</v>
      </c>
      <c r="D94" s="30" t="s">
        <v>36</v>
      </c>
      <c r="E94" s="20">
        <v>1.5875164504606127</v>
      </c>
      <c r="F94" s="20">
        <v>1.1468791126151532</v>
      </c>
      <c r="G94" s="20">
        <v>1.4406373378454593</v>
      </c>
      <c r="H94" s="20">
        <v>2.7625493513818378</v>
      </c>
      <c r="I94" s="20" t="s">
        <v>97</v>
      </c>
    </row>
    <row r="97" spans="1:9" ht="13.5" thickBot="1">
      <c r="A97" s="109" t="s">
        <v>99</v>
      </c>
      <c r="B97" s="3" t="s">
        <v>65</v>
      </c>
      <c r="C97" s="41"/>
      <c r="D97" s="41"/>
      <c r="E97" s="42"/>
      <c r="F97" s="42"/>
      <c r="G97" s="42"/>
      <c r="H97" s="42"/>
      <c r="I97" s="42"/>
    </row>
    <row r="98" spans="2:9" ht="13.5" thickBot="1">
      <c r="B98" s="4"/>
      <c r="C98" s="43" t="s">
        <v>59</v>
      </c>
      <c r="D98" s="1">
        <v>1</v>
      </c>
      <c r="E98" s="45"/>
      <c r="F98" s="42"/>
      <c r="G98" s="42"/>
      <c r="H98" s="42"/>
      <c r="I98" s="42"/>
    </row>
    <row r="99" spans="2:9" ht="13.5" thickBot="1">
      <c r="B99" s="4"/>
      <c r="C99" s="24" t="s">
        <v>74</v>
      </c>
      <c r="D99" s="1">
        <v>1</v>
      </c>
      <c r="E99" s="42"/>
      <c r="F99" s="42"/>
      <c r="G99" s="42"/>
      <c r="H99" s="24" t="s">
        <v>68</v>
      </c>
      <c r="I99" s="1">
        <v>6</v>
      </c>
    </row>
    <row r="100" spans="2:9" ht="13.5" thickBot="1">
      <c r="B100" s="4"/>
      <c r="C100" s="24" t="s">
        <v>60</v>
      </c>
      <c r="D100" s="51">
        <v>1</v>
      </c>
      <c r="E100" s="42"/>
      <c r="F100" s="42"/>
      <c r="G100" s="42"/>
      <c r="H100" s="42"/>
      <c r="I100" s="42"/>
    </row>
    <row r="101" spans="2:9" ht="13.5" thickBot="1">
      <c r="B101" s="4"/>
      <c r="C101" s="42"/>
      <c r="D101" s="42"/>
      <c r="E101" s="42"/>
      <c r="F101" s="53" t="s">
        <v>67</v>
      </c>
      <c r="G101" s="54"/>
      <c r="H101" s="54"/>
      <c r="I101" s="55"/>
    </row>
    <row r="102" spans="2:9" ht="13.5" thickBot="1">
      <c r="B102" s="4"/>
      <c r="C102" s="42"/>
      <c r="D102" s="42"/>
      <c r="E102" s="27" t="s">
        <v>66</v>
      </c>
      <c r="F102" s="29">
        <v>1</v>
      </c>
      <c r="G102" s="29">
        <v>2</v>
      </c>
      <c r="H102" s="29">
        <v>3</v>
      </c>
      <c r="I102" s="29">
        <v>4</v>
      </c>
    </row>
    <row r="103" spans="2:9" ht="13.5" thickBot="1">
      <c r="B103" s="4"/>
      <c r="C103" s="58" t="s">
        <v>39</v>
      </c>
      <c r="D103" s="59" t="s">
        <v>31</v>
      </c>
      <c r="E103" s="17">
        <v>5</v>
      </c>
      <c r="F103" s="1">
        <v>1.5</v>
      </c>
      <c r="G103" s="1">
        <v>2.5</v>
      </c>
      <c r="H103" s="1">
        <v>1</v>
      </c>
      <c r="I103" s="1"/>
    </row>
    <row r="104" spans="2:9" ht="12.75">
      <c r="B104" s="4"/>
      <c r="C104" s="58" t="s">
        <v>6</v>
      </c>
      <c r="D104" s="59" t="s">
        <v>37</v>
      </c>
      <c r="E104" s="18">
        <v>0.8333333333333334</v>
      </c>
      <c r="F104" s="62"/>
      <c r="G104" s="62"/>
      <c r="H104" s="62"/>
      <c r="I104" s="62"/>
    </row>
    <row r="105" spans="2:9" ht="14.25">
      <c r="B105" s="42"/>
      <c r="C105" s="65" t="s">
        <v>51</v>
      </c>
      <c r="D105" s="43" t="s">
        <v>52</v>
      </c>
      <c r="E105" s="18">
        <v>0.004512126339537506</v>
      </c>
      <c r="F105" s="66"/>
      <c r="G105" s="66"/>
      <c r="H105" s="66"/>
      <c r="I105" s="66"/>
    </row>
    <row r="106" spans="2:9" ht="14.25">
      <c r="B106" s="42"/>
      <c r="C106" s="58" t="s">
        <v>2</v>
      </c>
      <c r="D106" s="30" t="s">
        <v>33</v>
      </c>
      <c r="E106" s="18">
        <v>2.9375822523030632</v>
      </c>
      <c r="F106" s="18">
        <v>0.19583881682020415</v>
      </c>
      <c r="G106" s="18">
        <v>0.9791940841010207</v>
      </c>
      <c r="H106" s="18">
        <v>1.7625493513818378</v>
      </c>
      <c r="I106" s="18" t="s">
        <v>97</v>
      </c>
    </row>
    <row r="107" spans="2:9" ht="14.25">
      <c r="B107" s="42"/>
      <c r="C107" s="58" t="s">
        <v>3</v>
      </c>
      <c r="D107" s="30" t="s">
        <v>34</v>
      </c>
      <c r="E107" s="18">
        <v>7.937582252303063</v>
      </c>
      <c r="F107" s="18">
        <v>1.695838816820204</v>
      </c>
      <c r="G107" s="18">
        <v>3.4791940841010205</v>
      </c>
      <c r="H107" s="18">
        <v>2.7625493513818378</v>
      </c>
      <c r="I107" s="18" t="s">
        <v>97</v>
      </c>
    </row>
    <row r="108" spans="2:9" ht="14.25">
      <c r="B108" s="42"/>
      <c r="C108" s="58" t="s">
        <v>4</v>
      </c>
      <c r="D108" s="30" t="s">
        <v>35</v>
      </c>
      <c r="E108" s="18">
        <v>0.5875164504606126</v>
      </c>
      <c r="F108" s="18">
        <v>0.13055921121346944</v>
      </c>
      <c r="G108" s="18">
        <v>0.3916776336404083</v>
      </c>
      <c r="H108" s="18">
        <v>1.7625493513818378</v>
      </c>
      <c r="I108" s="18" t="s">
        <v>97</v>
      </c>
    </row>
    <row r="109" spans="2:9" ht="15" thickBot="1">
      <c r="B109" s="42"/>
      <c r="C109" s="58" t="s">
        <v>5</v>
      </c>
      <c r="D109" s="30" t="s">
        <v>36</v>
      </c>
      <c r="E109" s="20">
        <v>1.5875164504606127</v>
      </c>
      <c r="F109" s="20">
        <v>1.1305592112134695</v>
      </c>
      <c r="G109" s="20">
        <v>1.3916776336404082</v>
      </c>
      <c r="H109" s="20">
        <v>2.7625493513818378</v>
      </c>
      <c r="I109" s="20" t="s">
        <v>97</v>
      </c>
    </row>
    <row r="112" spans="1:6" ht="12.75">
      <c r="A112" s="109" t="s">
        <v>100</v>
      </c>
      <c r="B112" s="3" t="s">
        <v>69</v>
      </c>
      <c r="C112" s="4"/>
      <c r="D112" s="4"/>
      <c r="E112" s="4"/>
      <c r="F112" s="4"/>
    </row>
    <row r="113" spans="2:6" ht="13.5" thickBot="1">
      <c r="B113" s="4"/>
      <c r="C113" s="4"/>
      <c r="D113" s="4"/>
      <c r="E113" s="4"/>
      <c r="F113" s="5"/>
    </row>
    <row r="114" spans="2:6" ht="12.75">
      <c r="B114" s="4"/>
      <c r="C114" s="6" t="s">
        <v>14</v>
      </c>
      <c r="D114" s="32" t="s">
        <v>15</v>
      </c>
      <c r="E114" s="39">
        <v>5</v>
      </c>
      <c r="F114" s="39">
        <v>5</v>
      </c>
    </row>
    <row r="115" spans="2:6" ht="12.75">
      <c r="B115" s="4"/>
      <c r="C115" s="9" t="s">
        <v>7</v>
      </c>
      <c r="D115" s="33" t="s">
        <v>8</v>
      </c>
      <c r="E115" s="40">
        <v>1</v>
      </c>
      <c r="F115" s="40">
        <v>2</v>
      </c>
    </row>
    <row r="116" spans="2:6" ht="12.75">
      <c r="B116" s="4"/>
      <c r="C116" s="11" t="s">
        <v>16</v>
      </c>
      <c r="D116" s="33" t="s">
        <v>17</v>
      </c>
      <c r="E116" s="40">
        <v>10</v>
      </c>
      <c r="F116" s="40">
        <v>10</v>
      </c>
    </row>
    <row r="117" spans="2:6" ht="13.5" thickBot="1">
      <c r="B117" s="4"/>
      <c r="C117" s="12" t="s">
        <v>18</v>
      </c>
      <c r="D117" s="34" t="s">
        <v>19</v>
      </c>
      <c r="E117" s="40">
        <v>70</v>
      </c>
      <c r="F117" s="40">
        <v>70</v>
      </c>
    </row>
    <row r="118" spans="2:6" ht="12.75">
      <c r="B118" s="4"/>
      <c r="C118" s="14" t="s">
        <v>21</v>
      </c>
      <c r="D118" s="32" t="s">
        <v>22</v>
      </c>
      <c r="E118" s="22">
        <v>0.473</v>
      </c>
      <c r="F118" s="22">
        <v>0.082</v>
      </c>
    </row>
    <row r="119" spans="2:6" ht="13.5" thickBot="1">
      <c r="B119" s="4"/>
      <c r="C119" s="12" t="s">
        <v>23</v>
      </c>
      <c r="D119" s="34" t="s">
        <v>24</v>
      </c>
      <c r="E119" s="23">
        <v>0.92</v>
      </c>
      <c r="F119" s="23">
        <v>0.994</v>
      </c>
    </row>
    <row r="120" spans="2:6" ht="13.5" thickBot="1">
      <c r="B120" s="4"/>
      <c r="C120" s="15" t="s">
        <v>20</v>
      </c>
      <c r="D120" s="16" t="s">
        <v>70</v>
      </c>
      <c r="E120" s="31">
        <v>0.125</v>
      </c>
      <c r="F120" s="31">
        <v>0.125</v>
      </c>
    </row>
    <row r="121" spans="2:6" ht="12.75">
      <c r="B121" s="4"/>
      <c r="C121" s="6" t="s">
        <v>25</v>
      </c>
      <c r="D121" s="7" t="s">
        <v>26</v>
      </c>
      <c r="E121" s="35">
        <v>0.4</v>
      </c>
      <c r="F121" s="35">
        <v>0.03</v>
      </c>
    </row>
    <row r="122" spans="2:6" ht="12.75">
      <c r="B122" s="4"/>
      <c r="C122" s="11" t="s">
        <v>9</v>
      </c>
      <c r="D122" s="10" t="s">
        <v>13</v>
      </c>
      <c r="E122" s="36">
        <v>6.956521739130431</v>
      </c>
      <c r="F122" s="36">
        <v>0.48289738430583545</v>
      </c>
    </row>
    <row r="123" spans="2:6" ht="12.75">
      <c r="B123" s="4"/>
      <c r="C123" s="11" t="s">
        <v>27</v>
      </c>
      <c r="D123" s="10" t="s">
        <v>28</v>
      </c>
      <c r="E123" s="36">
        <v>4.025</v>
      </c>
      <c r="F123" s="36">
        <v>4.34875</v>
      </c>
    </row>
    <row r="124" spans="2:6" ht="13.5" thickBot="1">
      <c r="B124" s="4"/>
      <c r="C124" s="19" t="s">
        <v>29</v>
      </c>
      <c r="D124" s="13" t="s">
        <v>30</v>
      </c>
      <c r="E124" s="37">
        <v>0.575</v>
      </c>
      <c r="F124" s="37">
        <v>0.62125</v>
      </c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25" t="s">
        <v>77</v>
      </c>
      <c r="E126" s="25"/>
      <c r="F126" s="4"/>
    </row>
    <row r="127" spans="2:6" ht="13.5" thickBot="1">
      <c r="B127" s="4"/>
      <c r="C127" s="4"/>
      <c r="D127" s="25" t="s">
        <v>78</v>
      </c>
      <c r="E127" s="25"/>
      <c r="F127" s="25"/>
    </row>
    <row r="128" spans="2:6" ht="12.75">
      <c r="B128" s="4"/>
      <c r="C128" s="24" t="s">
        <v>79</v>
      </c>
      <c r="D128" s="39">
        <v>10</v>
      </c>
      <c r="E128" s="27">
        <v>10</v>
      </c>
      <c r="F128" s="27">
        <v>20</v>
      </c>
    </row>
    <row r="129" spans="2:6" ht="13.5" thickBot="1">
      <c r="B129" s="4"/>
      <c r="C129" s="24" t="s">
        <v>80</v>
      </c>
      <c r="D129" s="40">
        <v>16</v>
      </c>
      <c r="E129" s="28">
        <v>15.6</v>
      </c>
      <c r="F129" s="28">
        <v>10.42</v>
      </c>
    </row>
    <row r="130" spans="2:6" ht="13.5" thickBot="1">
      <c r="B130" s="4"/>
      <c r="C130" s="24" t="s">
        <v>81</v>
      </c>
      <c r="D130" s="26"/>
      <c r="E130" s="29">
        <v>25.6</v>
      </c>
      <c r="F130" s="29">
        <v>30.42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32"/>
  <sheetViews>
    <sheetView workbookViewId="0" topLeftCell="A1">
      <selection activeCell="A20" sqref="A20"/>
    </sheetView>
  </sheetViews>
  <sheetFormatPr defaultColWidth="9.140625" defaultRowHeight="12.75"/>
  <cols>
    <col min="1" max="1" width="3.57421875" style="108" customWidth="1"/>
    <col min="2" max="2" width="9.140625" style="103" customWidth="1"/>
    <col min="3" max="3" width="26.8515625" style="103" customWidth="1"/>
    <col min="4" max="16384" width="9.140625" style="103" customWidth="1"/>
  </cols>
  <sheetData>
    <row r="1" ht="12.75">
      <c r="A1" s="107" t="s">
        <v>87</v>
      </c>
    </row>
    <row r="4" spans="1:10" ht="13.5" thickBot="1">
      <c r="A4" s="109" t="s">
        <v>101</v>
      </c>
      <c r="B4" s="3" t="s">
        <v>55</v>
      </c>
      <c r="C4" s="3"/>
      <c r="D4" s="41"/>
      <c r="E4" s="41"/>
      <c r="F4" s="42"/>
      <c r="G4" s="42"/>
      <c r="H4" s="42"/>
      <c r="I4" s="42"/>
      <c r="J4" s="42"/>
    </row>
    <row r="5" spans="2:10" ht="13.5" thickBot="1">
      <c r="B5" s="4"/>
      <c r="C5" s="43" t="s">
        <v>58</v>
      </c>
      <c r="D5" s="2">
        <v>18</v>
      </c>
      <c r="E5" s="42"/>
      <c r="F5" s="42"/>
      <c r="G5" s="42"/>
      <c r="H5" s="43" t="s">
        <v>59</v>
      </c>
      <c r="I5" s="2">
        <v>20</v>
      </c>
      <c r="J5" s="45"/>
    </row>
    <row r="6" spans="2:10" ht="13.5" thickBot="1">
      <c r="B6" s="21"/>
      <c r="C6" s="24" t="s">
        <v>75</v>
      </c>
      <c r="D6" s="1">
        <v>0.1</v>
      </c>
      <c r="E6" s="42"/>
      <c r="F6" s="42"/>
      <c r="G6" s="42"/>
      <c r="H6" s="24" t="s">
        <v>74</v>
      </c>
      <c r="I6" s="1">
        <v>0.1</v>
      </c>
      <c r="J6" s="42"/>
    </row>
    <row r="7" spans="2:10" ht="13.5" thickBot="1">
      <c r="B7" s="4"/>
      <c r="C7" s="24" t="s">
        <v>62</v>
      </c>
      <c r="D7" s="51">
        <v>0.05555555555555555</v>
      </c>
      <c r="E7" s="42"/>
      <c r="F7" s="42"/>
      <c r="G7" s="42"/>
      <c r="H7" s="24" t="s">
        <v>60</v>
      </c>
      <c r="I7" s="51">
        <v>0.05</v>
      </c>
      <c r="J7" s="42"/>
    </row>
    <row r="8" spans="2:10" ht="13.5" thickBot="1">
      <c r="B8" s="4"/>
      <c r="C8" s="58"/>
      <c r="D8" s="42"/>
      <c r="E8" s="42"/>
      <c r="F8" s="42"/>
      <c r="G8" s="42"/>
      <c r="H8" s="42"/>
      <c r="I8" s="42"/>
      <c r="J8" s="42"/>
    </row>
    <row r="9" spans="2:10" ht="13.5" thickBot="1">
      <c r="B9" s="4"/>
      <c r="C9" s="78" t="s">
        <v>61</v>
      </c>
      <c r="D9" s="79" t="s">
        <v>8</v>
      </c>
      <c r="E9" s="2">
        <v>1</v>
      </c>
      <c r="F9" s="2">
        <v>2</v>
      </c>
      <c r="G9" s="2">
        <v>3</v>
      </c>
      <c r="H9" s="2">
        <v>4</v>
      </c>
      <c r="I9" s="2">
        <v>5</v>
      </c>
      <c r="J9" s="2">
        <v>6</v>
      </c>
    </row>
    <row r="10" spans="2:10" ht="12.75">
      <c r="B10" s="4"/>
      <c r="C10" s="82" t="s">
        <v>6</v>
      </c>
      <c r="D10" s="59" t="s">
        <v>37</v>
      </c>
      <c r="E10" s="17">
        <v>0.9</v>
      </c>
      <c r="F10" s="17">
        <v>0.45</v>
      </c>
      <c r="G10" s="17">
        <v>0.3</v>
      </c>
      <c r="H10" s="17">
        <v>0.225</v>
      </c>
      <c r="I10" s="17">
        <v>0.18</v>
      </c>
      <c r="J10" s="17">
        <v>0.15</v>
      </c>
    </row>
    <row r="11" spans="2:10" ht="14.25">
      <c r="B11" s="4"/>
      <c r="C11" s="65" t="s">
        <v>51</v>
      </c>
      <c r="D11" s="43" t="s">
        <v>52</v>
      </c>
      <c r="E11" s="18">
        <v>0.1</v>
      </c>
      <c r="F11" s="18">
        <v>0.37931034482758624</v>
      </c>
      <c r="G11" s="18">
        <v>0.40345821325648423</v>
      </c>
      <c r="H11" s="18">
        <v>0.4062110987355042</v>
      </c>
      <c r="I11" s="18">
        <v>0.40653076805808436</v>
      </c>
      <c r="J11" s="18">
        <v>0.40656577418105255</v>
      </c>
    </row>
    <row r="12" spans="2:10" ht="14.25">
      <c r="B12" s="4"/>
      <c r="C12" s="82" t="s">
        <v>56</v>
      </c>
      <c r="D12" s="79" t="s">
        <v>54</v>
      </c>
      <c r="E12" s="18">
        <v>0.9</v>
      </c>
      <c r="F12" s="18">
        <v>0.27931034482758627</v>
      </c>
      <c r="G12" s="18">
        <v>0.07002881844380407</v>
      </c>
      <c r="H12" s="18">
        <v>0.01432876891829916</v>
      </c>
      <c r="I12" s="18">
        <v>0.002439556435270511</v>
      </c>
      <c r="J12" s="18">
        <v>0.00035304856470024973</v>
      </c>
    </row>
    <row r="13" spans="2:10" ht="14.25">
      <c r="B13" s="4"/>
      <c r="C13" s="58" t="s">
        <v>2</v>
      </c>
      <c r="D13" s="30" t="s">
        <v>33</v>
      </c>
      <c r="E13" s="18">
        <v>8.1</v>
      </c>
      <c r="F13" s="18">
        <v>0.22852664576802512</v>
      </c>
      <c r="G13" s="18">
        <v>0.030012350761630315</v>
      </c>
      <c r="H13" s="18">
        <v>0.004159965169828788</v>
      </c>
      <c r="I13" s="18">
        <v>0.0005355123882301123</v>
      </c>
      <c r="J13" s="18">
        <v>6.230268788827937E-05</v>
      </c>
    </row>
    <row r="14" spans="2:10" ht="14.25">
      <c r="B14" s="42"/>
      <c r="C14" s="58" t="s">
        <v>3</v>
      </c>
      <c r="D14" s="30" t="s">
        <v>34</v>
      </c>
      <c r="E14" s="18">
        <v>9</v>
      </c>
      <c r="F14" s="18">
        <v>1.1285266457680252</v>
      </c>
      <c r="G14" s="18">
        <v>0.9300123507616304</v>
      </c>
      <c r="H14" s="18">
        <v>0.9041599651698288</v>
      </c>
      <c r="I14" s="18">
        <v>0.9005355123882302</v>
      </c>
      <c r="J14" s="18">
        <v>0.9000623026878883</v>
      </c>
    </row>
    <row r="15" spans="2:10" ht="14.25">
      <c r="B15" s="4"/>
      <c r="C15" s="58" t="s">
        <v>4</v>
      </c>
      <c r="D15" s="30" t="s">
        <v>35</v>
      </c>
      <c r="E15" s="18">
        <v>0.45</v>
      </c>
      <c r="F15" s="18">
        <v>0.012695924764890284</v>
      </c>
      <c r="G15" s="18">
        <v>0.0016673528200905731</v>
      </c>
      <c r="H15" s="18">
        <v>0.00023110917610159933</v>
      </c>
      <c r="I15" s="18">
        <v>2.9750688235006235E-05</v>
      </c>
      <c r="J15" s="18">
        <v>3.4612604382377427E-06</v>
      </c>
    </row>
    <row r="16" spans="2:10" ht="14.25">
      <c r="B16" s="4"/>
      <c r="C16" s="58" t="s">
        <v>5</v>
      </c>
      <c r="D16" s="30" t="s">
        <v>36</v>
      </c>
      <c r="E16" s="18">
        <v>0.5</v>
      </c>
      <c r="F16" s="18">
        <v>0.06269592476489029</v>
      </c>
      <c r="G16" s="18">
        <v>0.05166735282009058</v>
      </c>
      <c r="H16" s="18">
        <v>0.0502311091761016</v>
      </c>
      <c r="I16" s="18">
        <v>0.05002975068823501</v>
      </c>
      <c r="J16" s="18">
        <v>0.05000346126043824</v>
      </c>
    </row>
    <row r="17" spans="2:10" ht="15" thickBot="1">
      <c r="B17" s="4"/>
      <c r="C17" s="82" t="s">
        <v>9</v>
      </c>
      <c r="D17" s="79" t="s">
        <v>57</v>
      </c>
      <c r="E17" s="20">
        <v>0.5</v>
      </c>
      <c r="F17" s="20">
        <v>0.045454545454545456</v>
      </c>
      <c r="G17" s="20">
        <v>0.023809523809523808</v>
      </c>
      <c r="H17" s="20">
        <v>0.016129032258064516</v>
      </c>
      <c r="I17" s="20">
        <v>0.012195121951219513</v>
      </c>
      <c r="J17" s="20">
        <v>0.00980392156862745</v>
      </c>
    </row>
    <row r="20" spans="1:5" ht="12.75">
      <c r="A20" s="109" t="s">
        <v>94</v>
      </c>
      <c r="B20" s="3" t="s">
        <v>69</v>
      </c>
      <c r="C20" s="4"/>
      <c r="D20" s="4"/>
      <c r="E20" s="4"/>
    </row>
    <row r="21" spans="2:5" ht="13.5" thickBot="1">
      <c r="B21" s="4"/>
      <c r="C21" s="4"/>
      <c r="D21" s="4"/>
      <c r="E21" s="4"/>
    </row>
    <row r="22" spans="2:5" ht="12.75">
      <c r="B22" s="4"/>
      <c r="C22" s="6" t="s">
        <v>14</v>
      </c>
      <c r="D22" s="32" t="s">
        <v>15</v>
      </c>
      <c r="E22" s="39">
        <v>10</v>
      </c>
    </row>
    <row r="23" spans="2:5" ht="12.75">
      <c r="B23" s="4"/>
      <c r="C23" s="9" t="s">
        <v>7</v>
      </c>
      <c r="D23" s="33" t="s">
        <v>8</v>
      </c>
      <c r="E23" s="40">
        <v>3</v>
      </c>
    </row>
    <row r="24" spans="2:5" ht="12.75">
      <c r="B24" s="4"/>
      <c r="C24" s="11" t="s">
        <v>16</v>
      </c>
      <c r="D24" s="33" t="s">
        <v>17</v>
      </c>
      <c r="E24" s="40">
        <v>9</v>
      </c>
    </row>
    <row r="25" spans="2:5" ht="13.5" thickBot="1">
      <c r="B25" s="4"/>
      <c r="C25" s="12" t="s">
        <v>18</v>
      </c>
      <c r="D25" s="34" t="s">
        <v>19</v>
      </c>
      <c r="E25" s="40">
        <v>6</v>
      </c>
    </row>
    <row r="26" spans="2:5" ht="12.75">
      <c r="B26" s="4"/>
      <c r="C26" s="14" t="s">
        <v>21</v>
      </c>
      <c r="D26" s="32" t="s">
        <v>22</v>
      </c>
      <c r="E26" s="22">
        <v>0.996</v>
      </c>
    </row>
    <row r="27" spans="2:5" ht="13.5" thickBot="1">
      <c r="B27" s="4"/>
      <c r="C27" s="12" t="s">
        <v>23</v>
      </c>
      <c r="D27" s="34" t="s">
        <v>24</v>
      </c>
      <c r="E27" s="23">
        <v>0.5</v>
      </c>
    </row>
    <row r="28" spans="2:5" ht="13.5" thickBot="1">
      <c r="B28" s="4"/>
      <c r="C28" s="15" t="s">
        <v>20</v>
      </c>
      <c r="D28" s="16" t="s">
        <v>70</v>
      </c>
      <c r="E28" s="31">
        <v>0.6</v>
      </c>
    </row>
    <row r="29" spans="2:5" ht="12.75">
      <c r="B29" s="4"/>
      <c r="C29" s="6" t="s">
        <v>25</v>
      </c>
      <c r="D29" s="7" t="s">
        <v>26</v>
      </c>
      <c r="E29" s="35">
        <v>5</v>
      </c>
    </row>
    <row r="30" spans="2:5" ht="12.75">
      <c r="B30" s="4"/>
      <c r="C30" s="11" t="s">
        <v>9</v>
      </c>
      <c r="D30" s="10" t="s">
        <v>13</v>
      </c>
      <c r="E30" s="36">
        <v>15</v>
      </c>
    </row>
    <row r="31" spans="2:5" ht="12.75">
      <c r="B31" s="4"/>
      <c r="C31" s="11" t="s">
        <v>27</v>
      </c>
      <c r="D31" s="10" t="s">
        <v>28</v>
      </c>
      <c r="E31" s="36">
        <v>2</v>
      </c>
    </row>
    <row r="32" spans="2:5" ht="13.5" thickBot="1">
      <c r="B32" s="4"/>
      <c r="C32" s="19" t="s">
        <v>29</v>
      </c>
      <c r="D32" s="13" t="s">
        <v>30</v>
      </c>
      <c r="E32" s="3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2001-03-22T04:01:46Z</cp:lastPrinted>
  <dcterms:created xsi:type="dcterms:W3CDTF">2001-02-24T20:48:58Z</dcterms:created>
  <dcterms:modified xsi:type="dcterms:W3CDTF">2001-04-04T18:42:01Z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