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55" windowWidth="16920" windowHeight="8985" activeTab="0"/>
  </bookViews>
  <sheets>
    <sheet name="Main" sheetId="1" r:id="rId1"/>
    <sheet name="Mill" sheetId="2" state="hidden" r:id="rId2"/>
    <sheet name="Lathe" sheetId="3" state="hidden" r:id="rId3"/>
    <sheet name="Material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David Ullman</author>
  </authors>
  <commentList>
    <comment ref="B17" authorId="0">
      <text>
        <r>
          <rPr>
            <b/>
            <sz val="8"/>
            <rFont val="Tahoma"/>
            <family val="0"/>
          </rPr>
          <t>David Ullman:</t>
        </r>
        <r>
          <rPr>
            <sz val="8"/>
            <rFont val="Tahoma"/>
            <family val="0"/>
          </rPr>
          <t xml:space="preserve">
ratio of final volume to raw material volume
</t>
        </r>
      </text>
    </comment>
  </commentList>
</comments>
</file>

<file path=xl/sharedStrings.xml><?xml version="1.0" encoding="utf-8"?>
<sst xmlns="http://schemas.openxmlformats.org/spreadsheetml/2006/main" count="155" uniqueCount="105">
  <si>
    <t>Aluminum Alloy</t>
  </si>
  <si>
    <t>Low Carbon Steel</t>
  </si>
  <si>
    <t>High Carbon Steel</t>
  </si>
  <si>
    <t>Stainless Steel</t>
  </si>
  <si>
    <t>High Strength Alloy Steel</t>
  </si>
  <si>
    <t>Titanium  Alloy</t>
  </si>
  <si>
    <t>Copper Alloy</t>
  </si>
  <si>
    <t>Magnesium Alloy</t>
  </si>
  <si>
    <t>Plate</t>
  </si>
  <si>
    <t>Bar</t>
  </si>
  <si>
    <t>Tube</t>
  </si>
  <si>
    <t>SHP</t>
  </si>
  <si>
    <t>MAT</t>
  </si>
  <si>
    <t>Lathe</t>
  </si>
  <si>
    <t>Mill</t>
  </si>
  <si>
    <t>MACH</t>
  </si>
  <si>
    <t>Other machines</t>
  </si>
  <si>
    <t>Number of parts</t>
  </si>
  <si>
    <t>NT</t>
  </si>
  <si>
    <t>Hourly rate</t>
  </si>
  <si>
    <t>Large</t>
  </si>
  <si>
    <t>Intermediate</t>
  </si>
  <si>
    <t>Fit</t>
  </si>
  <si>
    <t>TOL</t>
  </si>
  <si>
    <t>TF</t>
  </si>
  <si>
    <t>Rough</t>
  </si>
  <si>
    <t>Fine</t>
  </si>
  <si>
    <t>FF</t>
  </si>
  <si>
    <t>TPT</t>
  </si>
  <si>
    <t>DB</t>
  </si>
  <si>
    <t>LM</t>
  </si>
  <si>
    <t>VF</t>
  </si>
  <si>
    <t>PS</t>
  </si>
  <si>
    <t>Positioning time</t>
  </si>
  <si>
    <t xml:space="preserve">VM </t>
  </si>
  <si>
    <t>DA</t>
  </si>
  <si>
    <t>RV</t>
  </si>
  <si>
    <t>What Metal?</t>
  </si>
  <si>
    <t>What Primary Macining Process?</t>
  </si>
  <si>
    <t>What finish?</t>
  </si>
  <si>
    <t>What Raw Material Shape?</t>
  </si>
  <si>
    <t>What tolerance?</t>
  </si>
  <si>
    <t>Density</t>
  </si>
  <si>
    <t>RHO</t>
  </si>
  <si>
    <t>COST</t>
  </si>
  <si>
    <t>Cost</t>
  </si>
  <si>
    <t>WM</t>
  </si>
  <si>
    <t>TMC</t>
  </si>
  <si>
    <t>PM</t>
  </si>
  <si>
    <t>TLN</t>
  </si>
  <si>
    <t>TMP</t>
  </si>
  <si>
    <t>TSU</t>
  </si>
  <si>
    <t>TM</t>
  </si>
  <si>
    <t>TT</t>
  </si>
  <si>
    <t>LT</t>
  </si>
  <si>
    <t>CPR</t>
  </si>
  <si>
    <t>PWT</t>
  </si>
  <si>
    <t>CM</t>
  </si>
  <si>
    <t>CW</t>
  </si>
  <si>
    <t>lb</t>
  </si>
  <si>
    <t>$</t>
  </si>
  <si>
    <t>FIN</t>
  </si>
  <si>
    <t>setup time</t>
  </si>
  <si>
    <t>Volumetric Ratio (1-99)</t>
  </si>
  <si>
    <t>material removed</t>
  </si>
  <si>
    <t>length</t>
  </si>
  <si>
    <t>Parts per Batch</t>
  </si>
  <si>
    <t>RSG</t>
  </si>
  <si>
    <t>AM</t>
  </si>
  <si>
    <t>machining time</t>
  </si>
  <si>
    <t>N</t>
  </si>
  <si>
    <t>??</t>
  </si>
  <si>
    <t>weight of raw material</t>
  </si>
  <si>
    <t>cutting energy</t>
  </si>
  <si>
    <t>surface area</t>
  </si>
  <si>
    <t>maching time</t>
  </si>
  <si>
    <t>mach time for max power</t>
  </si>
  <si>
    <t>correction</t>
  </si>
  <si>
    <t>tot mach time</t>
  </si>
  <si>
    <t>process time</t>
  </si>
  <si>
    <t>process cost</t>
  </si>
  <si>
    <t>part weight</t>
  </si>
  <si>
    <t>material cost</t>
  </si>
  <si>
    <t>cost per part</t>
  </si>
  <si>
    <t>Part Wt</t>
  </si>
  <si>
    <t>Material Cost/lb</t>
  </si>
  <si>
    <t>hr</t>
  </si>
  <si>
    <t>in</t>
  </si>
  <si>
    <t>Material Cost/part</t>
  </si>
  <si>
    <t>Mach time/part</t>
  </si>
  <si>
    <t>Total cost</t>
  </si>
  <si>
    <t>Labor cost/part</t>
  </si>
  <si>
    <t>Plot setup</t>
  </si>
  <si>
    <t>Design Organization</t>
  </si>
  <si>
    <t>Part Evaluated</t>
  </si>
  <si>
    <t>Date</t>
  </si>
  <si>
    <t>The Mechanical Design Process</t>
  </si>
  <si>
    <t>Copyright 2008, McGraw Hill</t>
  </si>
  <si>
    <t>Designed by Professor David G. Ullman</t>
  </si>
  <si>
    <t>Form # 14.0</t>
  </si>
  <si>
    <t>Input</t>
  </si>
  <si>
    <t>Results</t>
  </si>
  <si>
    <t>Machined Part Cost Estimator</t>
  </si>
  <si>
    <t>Mechanical Design Process</t>
  </si>
  <si>
    <t>Part on page 324, 4th edition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</si>
</sst>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$&quot;#,##0.00"/>
  </numFmts>
  <fonts count="15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Tahoma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1.25"/>
      <name val="Arial"/>
      <family val="0"/>
    </font>
    <font>
      <sz val="11.25"/>
      <name val="Arial"/>
      <family val="0"/>
    </font>
    <font>
      <sz val="11.5"/>
      <name val="Arial"/>
      <family val="2"/>
    </font>
    <font>
      <sz val="16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49" fontId="0" fillId="4" borderId="3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6" fillId="4" borderId="3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1" fillId="4" borderId="1" xfId="0" applyFont="1" applyFill="1" applyBorder="1" applyAlignment="1">
      <alignment/>
    </xf>
    <xf numFmtId="0" fontId="12" fillId="4" borderId="3" xfId="0" applyFont="1" applyFill="1" applyBorder="1" applyAlignment="1">
      <alignment/>
    </xf>
    <xf numFmtId="0" fontId="0" fillId="4" borderId="8" xfId="0" applyFill="1" applyBorder="1" applyAlignment="1">
      <alignment/>
    </xf>
    <xf numFmtId="0" fontId="6" fillId="4" borderId="2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10" fillId="3" borderId="9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14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per part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Material!$B$31:$L$31</c:f>
              <c:numCache>
                <c:ptCount val="11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  <c:pt idx="8">
                  <c:v>250</c:v>
                </c:pt>
                <c:pt idx="9">
                  <c:v>500</c:v>
                </c:pt>
                <c:pt idx="10">
                  <c:v>1000</c:v>
                </c:pt>
              </c:numCache>
            </c:numRef>
          </c:xVal>
          <c:yVal>
            <c:numRef>
              <c:f>Material!$B$32:$L$32</c:f>
              <c:numCache>
                <c:ptCount val="11"/>
                <c:pt idx="0">
                  <c:v>166.33481306875</c:v>
                </c:pt>
                <c:pt idx="1">
                  <c:v>62.695924179861116</c:v>
                </c:pt>
                <c:pt idx="2">
                  <c:v>41.96814640208333</c:v>
                </c:pt>
                <c:pt idx="3">
                  <c:v>33.08481306875</c:v>
                </c:pt>
                <c:pt idx="4">
                  <c:v>26.42231306875</c:v>
                </c:pt>
                <c:pt idx="5">
                  <c:v>18.649396402083333</c:v>
                </c:pt>
                <c:pt idx="6">
                  <c:v>13.985646402083335</c:v>
                </c:pt>
                <c:pt idx="7">
                  <c:v>12.431063068750001</c:v>
                </c:pt>
                <c:pt idx="8">
                  <c:v>11.498313068750003</c:v>
                </c:pt>
                <c:pt idx="9">
                  <c:v>11.187396402083335</c:v>
                </c:pt>
                <c:pt idx="10">
                  <c:v>11.031938068750001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solidFill>
                  <a:srgbClr val="FF00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Material!$M$31</c:f>
              <c:numCache>
                <c:ptCount val="1"/>
                <c:pt idx="0">
                  <c:v>100</c:v>
                </c:pt>
              </c:numCache>
            </c:numRef>
          </c:xVal>
          <c:yVal>
            <c:numRef>
              <c:f>Material!$M$32</c:f>
              <c:numCache>
                <c:ptCount val="1"/>
                <c:pt idx="0">
                  <c:v>12.431063068750001</c:v>
                </c:pt>
              </c:numCache>
            </c:numRef>
          </c:yVal>
          <c:smooth val="1"/>
        </c:ser>
        <c:axId val="9934267"/>
        <c:axId val="22299540"/>
      </c:scatterChart>
      <c:valAx>
        <c:axId val="99342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Parts per batch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299540"/>
        <c:crosses val="autoZero"/>
        <c:crossBetween val="midCat"/>
        <c:dispUnits/>
        <c:majorUnit val="10"/>
        <c:minorUnit val="10"/>
      </c:valAx>
      <c:valAx>
        <c:axId val="2229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342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per part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Mill!$C$2:$M$2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Mill!$C$23:$M$23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solidFill>
                  <a:srgbClr val="FF00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Mill!$N$2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Mill!$N$23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6478133"/>
        <c:axId val="61432286"/>
      </c:scatterChart>
      <c:valAx>
        <c:axId val="6647813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batch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432286"/>
        <c:crosses val="autoZero"/>
        <c:crossBetween val="midCat"/>
        <c:dispUnits/>
        <c:majorUnit val="10"/>
        <c:minorUnit val="10"/>
      </c:valAx>
      <c:valAx>
        <c:axId val="6143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78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per part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Lathe!$C$2:$M$2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Lathe!$C$26:$M$26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0" sourceLinked="0"/>
              <c:spPr>
                <a:solidFill>
                  <a:srgbClr val="FF00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Lathe!$N$2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Lathe!$N$26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6019663"/>
        <c:axId val="9959240"/>
      </c:scatterChart>
      <c:valAx>
        <c:axId val="160196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batch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959240"/>
        <c:crosses val="autoZero"/>
        <c:crossBetween val="midCat"/>
        <c:dispUnits/>
        <c:majorUnit val="10"/>
        <c:minorUnit val="10"/>
      </c:valAx>
      <c:valAx>
        <c:axId val="9959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19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26</xdr:row>
      <xdr:rowOff>76200</xdr:rowOff>
    </xdr:from>
    <xdr:to>
      <xdr:col>10</xdr:col>
      <xdr:colOff>285750</xdr:colOff>
      <xdr:row>44</xdr:row>
      <xdr:rowOff>552450</xdr:rowOff>
    </xdr:to>
    <xdr:graphicFrame>
      <xdr:nvGraphicFramePr>
        <xdr:cNvPr id="1" name="Chart 15"/>
        <xdr:cNvGraphicFramePr/>
      </xdr:nvGraphicFramePr>
      <xdr:xfrm>
        <a:off x="628650" y="4629150"/>
        <a:ext cx="51339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24</xdr:row>
      <xdr:rowOff>76200</xdr:rowOff>
    </xdr:from>
    <xdr:to>
      <xdr:col>9</xdr:col>
      <xdr:colOff>447675</xdr:colOff>
      <xdr:row>46</xdr:row>
      <xdr:rowOff>28575</xdr:rowOff>
    </xdr:to>
    <xdr:graphicFrame>
      <xdr:nvGraphicFramePr>
        <xdr:cNvPr id="1" name="Chart 2"/>
        <xdr:cNvGraphicFramePr/>
      </xdr:nvGraphicFramePr>
      <xdr:xfrm>
        <a:off x="1733550" y="3962400"/>
        <a:ext cx="45339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12</xdr:col>
      <xdr:colOff>276225</xdr:colOff>
      <xdr:row>48</xdr:row>
      <xdr:rowOff>123825</xdr:rowOff>
    </xdr:to>
    <xdr:graphicFrame macro="[0]!LathePlot">
      <xdr:nvGraphicFramePr>
        <xdr:cNvPr id="1" name="Chart 1"/>
        <xdr:cNvGraphicFramePr/>
      </xdr:nvGraphicFramePr>
      <xdr:xfrm>
        <a:off x="3571875" y="4371975"/>
        <a:ext cx="4543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7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3.421875" style="0" customWidth="1"/>
    <col min="2" max="2" width="14.28125" style="0" customWidth="1"/>
    <col min="3" max="3" width="7.421875" style="0" customWidth="1"/>
    <col min="4" max="4" width="6.7109375" style="0" customWidth="1"/>
    <col min="5" max="5" width="7.57421875" style="0" customWidth="1"/>
    <col min="6" max="6" width="14.140625" style="0" customWidth="1"/>
    <col min="7" max="7" width="6.421875" style="0" customWidth="1"/>
    <col min="8" max="8" width="5.140625" style="0" customWidth="1"/>
    <col min="9" max="9" width="6.57421875" style="0" customWidth="1"/>
    <col min="10" max="10" width="10.421875" style="0" customWidth="1"/>
    <col min="11" max="11" width="7.00390625" style="0" customWidth="1"/>
  </cols>
  <sheetData>
    <row r="1" spans="1:11" ht="21" thickBot="1">
      <c r="A1" s="29"/>
      <c r="B1" s="38" t="s">
        <v>102</v>
      </c>
      <c r="C1" s="38"/>
      <c r="D1" s="38"/>
      <c r="E1" s="38"/>
      <c r="F1" s="38"/>
      <c r="G1" s="38"/>
      <c r="H1" s="38"/>
      <c r="I1" s="38"/>
      <c r="J1" s="38"/>
      <c r="K1" s="39"/>
    </row>
    <row r="2" spans="1:11" ht="18" customHeight="1" thickBot="1">
      <c r="A2" s="29"/>
      <c r="B2" s="11" t="s">
        <v>93</v>
      </c>
      <c r="C2" s="30"/>
      <c r="D2" s="40" t="s">
        <v>103</v>
      </c>
      <c r="E2" s="41"/>
      <c r="F2" s="42"/>
      <c r="G2" s="7"/>
      <c r="H2" s="7"/>
      <c r="I2" s="12" t="s">
        <v>95</v>
      </c>
      <c r="J2" s="34"/>
      <c r="K2" s="8"/>
    </row>
    <row r="3" spans="1:11" ht="16.5" customHeight="1" thickBot="1">
      <c r="A3" s="19"/>
      <c r="B3" s="25" t="s">
        <v>94</v>
      </c>
      <c r="C3" s="31"/>
      <c r="D3" s="40" t="s">
        <v>104</v>
      </c>
      <c r="E3" s="41"/>
      <c r="F3" s="42"/>
      <c r="G3" s="9"/>
      <c r="H3" s="9"/>
      <c r="I3" s="9"/>
      <c r="J3" s="9"/>
      <c r="K3" s="10"/>
    </row>
    <row r="4" spans="1:11" ht="16.5" customHeight="1">
      <c r="A4" s="32" t="s">
        <v>100</v>
      </c>
      <c r="B4" s="26"/>
      <c r="C4" s="13"/>
      <c r="D4" s="13"/>
      <c r="E4" s="13"/>
      <c r="F4" s="13"/>
      <c r="G4" s="13"/>
      <c r="H4" s="13"/>
      <c r="I4" s="13"/>
      <c r="J4" s="13"/>
      <c r="K4" s="14"/>
    </row>
    <row r="5" spans="1:11" ht="12.75">
      <c r="A5" s="15"/>
      <c r="B5" s="16" t="s">
        <v>37</v>
      </c>
      <c r="C5" s="16"/>
      <c r="D5" s="16"/>
      <c r="E5" s="16" t="s">
        <v>40</v>
      </c>
      <c r="F5" s="16"/>
      <c r="G5" s="16"/>
      <c r="H5" s="16" t="s">
        <v>39</v>
      </c>
      <c r="I5" s="6"/>
      <c r="J5" s="16"/>
      <c r="K5" s="17"/>
    </row>
    <row r="6" spans="1:11" ht="12.75">
      <c r="A6" s="15"/>
      <c r="B6" s="16"/>
      <c r="C6" s="16"/>
      <c r="D6" s="16"/>
      <c r="E6" s="16"/>
      <c r="F6" s="16"/>
      <c r="G6" s="16"/>
      <c r="H6" s="16"/>
      <c r="J6" s="16"/>
      <c r="K6" s="17"/>
    </row>
    <row r="7" spans="1:11" ht="12.75">
      <c r="A7" s="15"/>
      <c r="B7" s="16"/>
      <c r="C7" s="16"/>
      <c r="D7" s="16"/>
      <c r="E7" s="16"/>
      <c r="F7" s="16"/>
      <c r="G7" s="16"/>
      <c r="H7" s="16"/>
      <c r="J7" s="16"/>
      <c r="K7" s="17"/>
    </row>
    <row r="8" spans="1:11" ht="12.75">
      <c r="A8" s="15"/>
      <c r="B8" s="16"/>
      <c r="C8" s="16"/>
      <c r="D8" s="16"/>
      <c r="E8" s="16"/>
      <c r="F8" s="16"/>
      <c r="G8" s="16"/>
      <c r="H8" s="16"/>
      <c r="J8" s="16"/>
      <c r="K8" s="17"/>
    </row>
    <row r="9" spans="1:11" ht="12.75">
      <c r="A9" s="15"/>
      <c r="B9" s="16"/>
      <c r="C9" s="16">
        <v>1</v>
      </c>
      <c r="D9" s="16"/>
      <c r="E9" s="16"/>
      <c r="F9" s="16"/>
      <c r="G9" s="16"/>
      <c r="H9" s="16" t="s">
        <v>41</v>
      </c>
      <c r="I9" s="6"/>
      <c r="J9" s="16"/>
      <c r="K9" s="17"/>
    </row>
    <row r="10" spans="1:11" ht="12.75">
      <c r="A10" s="15"/>
      <c r="B10" s="16"/>
      <c r="C10" s="16"/>
      <c r="D10" s="16"/>
      <c r="E10" s="16" t="s">
        <v>38</v>
      </c>
      <c r="F10" s="16"/>
      <c r="G10" s="16"/>
      <c r="H10" s="16"/>
      <c r="I10" s="16"/>
      <c r="J10" s="16"/>
      <c r="K10" s="17"/>
    </row>
    <row r="11" spans="1:11" ht="12.7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2.7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3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2.75">
      <c r="A14" s="15"/>
      <c r="B14" s="16" t="s">
        <v>65</v>
      </c>
      <c r="C14" s="16"/>
      <c r="D14" s="35">
        <v>4</v>
      </c>
      <c r="E14" s="16" t="s">
        <v>87</v>
      </c>
      <c r="F14" s="16" t="s">
        <v>16</v>
      </c>
      <c r="G14" s="16"/>
      <c r="H14" s="35">
        <v>2</v>
      </c>
      <c r="I14" s="16"/>
      <c r="J14" s="16"/>
      <c r="K14" s="17"/>
    </row>
    <row r="15" spans="1:11" ht="12.75">
      <c r="A15" s="15"/>
      <c r="B15" s="16" t="str">
        <f>IF(Material!A20=2,"height","outside diameter")</f>
        <v>outside diameter</v>
      </c>
      <c r="C15" s="16"/>
      <c r="D15" s="36">
        <v>2.25</v>
      </c>
      <c r="E15" s="16" t="s">
        <v>87</v>
      </c>
      <c r="F15" s="16" t="s">
        <v>66</v>
      </c>
      <c r="G15" s="16"/>
      <c r="H15" s="36">
        <v>100</v>
      </c>
      <c r="I15" s="16"/>
      <c r="J15" s="16"/>
      <c r="K15" s="17"/>
    </row>
    <row r="16" spans="1:11" ht="13.5" thickBot="1">
      <c r="A16" s="15"/>
      <c r="B16" s="16" t="str">
        <f>IF(Material!A20=2,"width","inside diameter")</f>
        <v>inside diameter</v>
      </c>
      <c r="C16" s="16"/>
      <c r="D16" s="36">
        <v>0</v>
      </c>
      <c r="E16" s="16" t="s">
        <v>87</v>
      </c>
      <c r="F16" s="16" t="s">
        <v>19</v>
      </c>
      <c r="G16" s="16"/>
      <c r="H16" s="37">
        <v>35</v>
      </c>
      <c r="I16" s="16" t="s">
        <v>60</v>
      </c>
      <c r="J16" s="16"/>
      <c r="K16" s="17"/>
    </row>
    <row r="17" spans="1:11" ht="12.75">
      <c r="A17" s="15"/>
      <c r="B17" s="16" t="s">
        <v>63</v>
      </c>
      <c r="C17" s="16"/>
      <c r="D17" s="36">
        <v>32</v>
      </c>
      <c r="E17" s="16"/>
      <c r="F17" s="16"/>
      <c r="G17" s="16"/>
      <c r="H17" s="16"/>
      <c r="I17" s="16"/>
      <c r="J17" s="16"/>
      <c r="K17" s="17"/>
    </row>
    <row r="18" spans="1:11" ht="12.75">
      <c r="A18" s="15"/>
      <c r="B18" s="16" t="str">
        <f>IF(Material!A20=2,"Number of surfaces","Number of Faces")</f>
        <v>Number of Faces</v>
      </c>
      <c r="C18" s="16"/>
      <c r="D18" s="36">
        <v>7</v>
      </c>
      <c r="E18" s="16"/>
      <c r="F18" s="16"/>
      <c r="G18" s="16"/>
      <c r="H18" s="16"/>
      <c r="I18" s="16"/>
      <c r="J18" s="16"/>
      <c r="K18" s="17"/>
    </row>
    <row r="19" spans="1:11" ht="13.5" thickBot="1">
      <c r="A19" s="15"/>
      <c r="B19" s="16" t="str">
        <f>IF(Material!A20=2,"","Number of diameters")</f>
        <v>Number of diameters</v>
      </c>
      <c r="C19" s="16"/>
      <c r="D19" s="36">
        <v>3</v>
      </c>
      <c r="E19" s="16"/>
      <c r="F19" s="16"/>
      <c r="G19" s="16"/>
      <c r="H19" s="16"/>
      <c r="I19" s="16"/>
      <c r="J19" s="16"/>
      <c r="K19" s="17"/>
    </row>
    <row r="20" spans="1:11" ht="16.5" customHeight="1">
      <c r="A20" s="33" t="s">
        <v>101</v>
      </c>
      <c r="B20" s="22"/>
      <c r="C20" s="22"/>
      <c r="D20" s="22"/>
      <c r="E20" s="22"/>
      <c r="F20" s="22"/>
      <c r="G20" s="22"/>
      <c r="H20" s="22"/>
      <c r="I20" s="22"/>
      <c r="J20" s="22"/>
      <c r="K20" s="24"/>
    </row>
    <row r="21" spans="1:11" ht="12.75">
      <c r="A21" s="15"/>
      <c r="B21" s="16" t="s">
        <v>84</v>
      </c>
      <c r="C21" s="18">
        <f>IF(Material!A20=2,Mill!N21,Lathe!$N$24)</f>
        <v>1.4395643999999999</v>
      </c>
      <c r="D21" s="16" t="s">
        <v>59</v>
      </c>
      <c r="E21" s="16"/>
      <c r="F21" s="16"/>
      <c r="G21" s="16"/>
      <c r="H21" s="16"/>
      <c r="I21" s="16"/>
      <c r="J21" s="16"/>
      <c r="K21" s="17"/>
    </row>
    <row r="22" spans="1:11" ht="12.75">
      <c r="A22" s="15"/>
      <c r="B22" s="16" t="s">
        <v>85</v>
      </c>
      <c r="C22" s="16">
        <f>Material!C10</f>
        <v>0.33</v>
      </c>
      <c r="D22" s="16" t="s">
        <v>60</v>
      </c>
      <c r="E22" s="16"/>
      <c r="F22" s="16"/>
      <c r="G22" s="16"/>
      <c r="H22" s="16"/>
      <c r="I22" s="16"/>
      <c r="J22" s="16"/>
      <c r="K22" s="17"/>
    </row>
    <row r="23" spans="1:11" ht="12.75">
      <c r="A23" s="15"/>
      <c r="B23" s="16" t="s">
        <v>88</v>
      </c>
      <c r="C23" s="18">
        <f>IF(Material!A20=2,Mill!N22,Lathe!$N$25)</f>
        <v>1.4845507875</v>
      </c>
      <c r="D23" s="16" t="s">
        <v>60</v>
      </c>
      <c r="E23" s="16"/>
      <c r="F23" s="16"/>
      <c r="G23" s="16"/>
      <c r="H23" s="16"/>
      <c r="I23" s="16"/>
      <c r="J23" s="16"/>
      <c r="K23" s="17"/>
    </row>
    <row r="24" spans="1:11" ht="12.75">
      <c r="A24" s="15"/>
      <c r="B24" s="16" t="s">
        <v>89</v>
      </c>
      <c r="C24" s="18">
        <f>IF(Material!A20=2,Mill!N19,Lathe!$N$22)</f>
        <v>0.31275749375000006</v>
      </c>
      <c r="D24" s="16" t="s">
        <v>86</v>
      </c>
      <c r="E24" s="16"/>
      <c r="F24" s="16"/>
      <c r="G24" s="16"/>
      <c r="H24" s="16"/>
      <c r="I24" s="16"/>
      <c r="J24" s="16"/>
      <c r="K24" s="17"/>
    </row>
    <row r="25" spans="1:11" ht="12.75">
      <c r="A25" s="15"/>
      <c r="B25" s="16" t="s">
        <v>91</v>
      </c>
      <c r="C25" s="18">
        <f>IF(Material!A20=2,Mill!$N$20,Lathe!$N$23)</f>
        <v>10.946512281250001</v>
      </c>
      <c r="D25" s="16" t="s">
        <v>60</v>
      </c>
      <c r="E25" s="16"/>
      <c r="F25" s="16"/>
      <c r="G25" s="16"/>
      <c r="H25" s="16"/>
      <c r="I25" s="16"/>
      <c r="J25" s="16"/>
      <c r="K25" s="17"/>
    </row>
    <row r="26" spans="1:11" ht="12.75">
      <c r="A26" s="15"/>
      <c r="B26" s="16" t="s">
        <v>90</v>
      </c>
      <c r="C26" s="18">
        <f>IF(Material!A20=2,Mill!$N$23,Lathe!$N$26)</f>
        <v>12.431063068750001</v>
      </c>
      <c r="D26" s="16" t="s">
        <v>60</v>
      </c>
      <c r="E26" s="16"/>
      <c r="F26" s="16"/>
      <c r="G26" s="16"/>
      <c r="H26" s="16"/>
      <c r="I26" s="16"/>
      <c r="J26" s="16"/>
      <c r="K26" s="17"/>
    </row>
    <row r="27" spans="1:11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7"/>
    </row>
    <row r="28" spans="1:11" ht="12.7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12.7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7"/>
    </row>
    <row r="31" spans="1:11" ht="12.7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r="32" spans="1:11" ht="12.7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7"/>
    </row>
    <row r="33" spans="1:11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7"/>
    </row>
    <row r="35" spans="1:11" ht="12.7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7"/>
    </row>
    <row r="36" spans="1:11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2.7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7"/>
    </row>
    <row r="38" spans="1:11" ht="12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7"/>
    </row>
    <row r="39" spans="1:11" ht="12.7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7"/>
    </row>
    <row r="40" spans="1:11" ht="12.7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7"/>
    </row>
    <row r="41" spans="1:11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7"/>
    </row>
    <row r="42" spans="1:11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7"/>
    </row>
    <row r="43" spans="1:11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4" spans="1:11" ht="12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48" customHeight="1" thickBo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1"/>
    </row>
    <row r="46" spans="1:11" ht="12.75">
      <c r="A46" s="29"/>
      <c r="B46" s="27" t="s">
        <v>96</v>
      </c>
      <c r="C46" s="22"/>
      <c r="D46" s="22"/>
      <c r="E46" s="22"/>
      <c r="F46" s="22"/>
      <c r="G46" s="22" t="s">
        <v>98</v>
      </c>
      <c r="H46" s="22"/>
      <c r="I46" s="22"/>
      <c r="J46" s="22"/>
      <c r="K46" s="24"/>
    </row>
    <row r="47" spans="1:11" ht="13.5" thickBot="1">
      <c r="A47" s="19"/>
      <c r="B47" s="28" t="s">
        <v>97</v>
      </c>
      <c r="C47" s="20"/>
      <c r="D47" s="20"/>
      <c r="E47" s="20"/>
      <c r="F47" s="20"/>
      <c r="G47" s="23" t="s">
        <v>99</v>
      </c>
      <c r="H47" s="20"/>
      <c r="I47" s="20"/>
      <c r="J47" s="20"/>
      <c r="K47" s="21"/>
    </row>
  </sheetData>
  <sheetProtection sheet="1" objects="1" scenarios="1"/>
  <mergeCells count="3">
    <mergeCell ref="B1:K1"/>
    <mergeCell ref="D2:F2"/>
    <mergeCell ref="D3:F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N20" sqref="N20"/>
    </sheetView>
  </sheetViews>
  <sheetFormatPr defaultColWidth="9.140625" defaultRowHeight="12.75"/>
  <cols>
    <col min="2" max="2" width="14.140625" style="0" customWidth="1"/>
  </cols>
  <sheetData>
    <row r="1" ht="12.75">
      <c r="A1" t="s">
        <v>14</v>
      </c>
    </row>
    <row r="2" spans="1:15" ht="12.75">
      <c r="A2" t="s">
        <v>18</v>
      </c>
      <c r="B2" t="s">
        <v>17</v>
      </c>
      <c r="C2" s="2">
        <v>1</v>
      </c>
      <c r="D2">
        <v>3</v>
      </c>
      <c r="E2">
        <v>5</v>
      </c>
      <c r="F2">
        <v>7</v>
      </c>
      <c r="G2">
        <v>10</v>
      </c>
      <c r="H2">
        <v>20</v>
      </c>
      <c r="I2">
        <v>50</v>
      </c>
      <c r="J2">
        <v>100</v>
      </c>
      <c r="K2">
        <v>250</v>
      </c>
      <c r="L2">
        <v>500</v>
      </c>
      <c r="M2">
        <v>1000</v>
      </c>
      <c r="N2">
        <f>Main!H15</f>
        <v>100</v>
      </c>
      <c r="O2" s="4"/>
    </row>
    <row r="3" spans="1:14" ht="12.75">
      <c r="A3" s="1" t="s">
        <v>30</v>
      </c>
      <c r="C3">
        <f>Main!$D14</f>
        <v>4</v>
      </c>
      <c r="D3">
        <f>Main!$D14</f>
        <v>4</v>
      </c>
      <c r="E3">
        <f>Main!$D14</f>
        <v>4</v>
      </c>
      <c r="F3">
        <f>Main!$D14</f>
        <v>4</v>
      </c>
      <c r="G3">
        <f>Main!$D14</f>
        <v>4</v>
      </c>
      <c r="H3">
        <f>Main!$D14</f>
        <v>4</v>
      </c>
      <c r="I3">
        <f>Main!$D14</f>
        <v>4</v>
      </c>
      <c r="J3">
        <f>Main!$D14</f>
        <v>4</v>
      </c>
      <c r="K3">
        <f>Main!$D14</f>
        <v>4</v>
      </c>
      <c r="L3">
        <f>Main!$D14</f>
        <v>4</v>
      </c>
      <c r="M3">
        <f>Main!$D14</f>
        <v>4</v>
      </c>
      <c r="N3">
        <f>Main!$D14</f>
        <v>4</v>
      </c>
    </row>
    <row r="4" spans="1:14" ht="12.75">
      <c r="A4" s="1" t="s">
        <v>35</v>
      </c>
      <c r="C4">
        <f>Main!$D15</f>
        <v>2.25</v>
      </c>
      <c r="D4">
        <f>Main!$D15</f>
        <v>2.25</v>
      </c>
      <c r="E4">
        <f>Main!$D15</f>
        <v>2.25</v>
      </c>
      <c r="F4">
        <f>Main!$D15</f>
        <v>2.25</v>
      </c>
      <c r="G4">
        <f>Main!$D15</f>
        <v>2.25</v>
      </c>
      <c r="H4">
        <f>Main!$D15</f>
        <v>2.25</v>
      </c>
      <c r="I4">
        <f>Main!$D15</f>
        <v>2.25</v>
      </c>
      <c r="J4">
        <f>Main!$D15</f>
        <v>2.25</v>
      </c>
      <c r="K4">
        <f>Main!$D15</f>
        <v>2.25</v>
      </c>
      <c r="L4">
        <f>Main!$D15</f>
        <v>2.25</v>
      </c>
      <c r="M4">
        <f>Main!$D15</f>
        <v>2.25</v>
      </c>
      <c r="N4">
        <f>Main!$D15</f>
        <v>2.25</v>
      </c>
    </row>
    <row r="5" spans="1:14" ht="12.75">
      <c r="A5" s="1" t="s">
        <v>29</v>
      </c>
      <c r="C5">
        <f>Main!$D16</f>
        <v>0</v>
      </c>
      <c r="D5">
        <f>Main!$D16</f>
        <v>0</v>
      </c>
      <c r="E5">
        <f>Main!$D16</f>
        <v>0</v>
      </c>
      <c r="F5">
        <f>Main!$D16</f>
        <v>0</v>
      </c>
      <c r="G5">
        <f>Main!$D16</f>
        <v>0</v>
      </c>
      <c r="H5">
        <f>Main!$D16</f>
        <v>0</v>
      </c>
      <c r="I5">
        <f>Main!$D16</f>
        <v>0</v>
      </c>
      <c r="J5">
        <f>Main!$D16</f>
        <v>0</v>
      </c>
      <c r="K5">
        <f>Main!$D16</f>
        <v>0</v>
      </c>
      <c r="L5">
        <f>Main!$D16</f>
        <v>0</v>
      </c>
      <c r="M5">
        <f>Main!$D16</f>
        <v>0</v>
      </c>
      <c r="N5">
        <f>Main!$D16</f>
        <v>0</v>
      </c>
    </row>
    <row r="6" spans="1:14" ht="12.75">
      <c r="A6" s="3" t="s">
        <v>36</v>
      </c>
      <c r="C6">
        <f>Main!$D17/100</f>
        <v>0.32</v>
      </c>
      <c r="D6">
        <f>Main!$D17/100</f>
        <v>0.32</v>
      </c>
      <c r="E6">
        <f>Main!$D17/100</f>
        <v>0.32</v>
      </c>
      <c r="F6">
        <f>Main!$D17/100</f>
        <v>0.32</v>
      </c>
      <c r="G6">
        <f>Main!$D17/100</f>
        <v>0.32</v>
      </c>
      <c r="H6">
        <f>Main!$D17/100</f>
        <v>0.32</v>
      </c>
      <c r="I6">
        <f>Main!$D17/100</f>
        <v>0.32</v>
      </c>
      <c r="J6">
        <f>Main!$D17/100</f>
        <v>0.32</v>
      </c>
      <c r="K6">
        <f>Main!$D17/100</f>
        <v>0.32</v>
      </c>
      <c r="L6">
        <f>Main!$D17/100</f>
        <v>0.32</v>
      </c>
      <c r="M6">
        <f>Main!$D17/100</f>
        <v>0.32</v>
      </c>
      <c r="N6">
        <f>Main!$D17/100</f>
        <v>0.32</v>
      </c>
    </row>
    <row r="7" spans="1:14" ht="12.75">
      <c r="A7" t="s">
        <v>28</v>
      </c>
      <c r="B7" t="s">
        <v>33</v>
      </c>
      <c r="C7">
        <f>60*Main!$D18</f>
        <v>420</v>
      </c>
      <c r="D7">
        <f>60*Main!$D18</f>
        <v>420</v>
      </c>
      <c r="E7">
        <f>60*Main!$D18</f>
        <v>420</v>
      </c>
      <c r="F7">
        <f>60*Main!$D18</f>
        <v>420</v>
      </c>
      <c r="G7">
        <f>60*Main!$D18</f>
        <v>420</v>
      </c>
      <c r="H7">
        <f>60*Main!$D18</f>
        <v>420</v>
      </c>
      <c r="I7">
        <f>60*Main!$D18</f>
        <v>420</v>
      </c>
      <c r="J7">
        <f>60*Main!$D18</f>
        <v>420</v>
      </c>
      <c r="K7">
        <f>60*Main!$D18</f>
        <v>420</v>
      </c>
      <c r="L7">
        <f>60*Main!$D18</f>
        <v>420</v>
      </c>
      <c r="M7">
        <f>60*Main!$D18</f>
        <v>420</v>
      </c>
      <c r="N7">
        <f>60*Main!$D18</f>
        <v>420</v>
      </c>
    </row>
    <row r="8" spans="1:14" ht="12.75">
      <c r="A8" t="s">
        <v>34</v>
      </c>
      <c r="B8" t="s">
        <v>64</v>
      </c>
      <c r="C8">
        <f>C3*C4*C5*(1-C6)</f>
        <v>0</v>
      </c>
      <c r="D8">
        <f aca="true" t="shared" si="0" ref="D8:M8">D3*D4*D5*(1-D6)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>N3*N4*N5*(1-N6)</f>
        <v>0</v>
      </c>
    </row>
    <row r="9" spans="1:14" ht="12.75">
      <c r="A9" s="3" t="s">
        <v>46</v>
      </c>
      <c r="B9" t="s">
        <v>72</v>
      </c>
      <c r="C9">
        <f>C3*C4*C5*Material!$D11</f>
        <v>0</v>
      </c>
      <c r="D9">
        <f>D3*D4*D5*Material!$D11</f>
        <v>0</v>
      </c>
      <c r="E9">
        <f>E3*E4*E5*Material!$D11</f>
        <v>0</v>
      </c>
      <c r="F9">
        <f>F3*F4*F5*Material!$D11</f>
        <v>0</v>
      </c>
      <c r="G9">
        <f>G3*G4*G5*Material!$D11</f>
        <v>0</v>
      </c>
      <c r="H9">
        <f>H3*H4*H5*Material!$D11</f>
        <v>0</v>
      </c>
      <c r="I9">
        <f>I3*I4*I5*Material!$D11</f>
        <v>0</v>
      </c>
      <c r="J9">
        <f>J3*J4*J5*Material!$D11</f>
        <v>0</v>
      </c>
      <c r="K9">
        <f>K3*K4*K5*Material!$D11</f>
        <v>0</v>
      </c>
      <c r="L9">
        <f>L3*L4*L5*Material!$D11</f>
        <v>0</v>
      </c>
      <c r="M9">
        <f>M3*M4*M5*Material!$D11</f>
        <v>0</v>
      </c>
      <c r="N9">
        <f>N3*N4*N5*Material!$D11</f>
        <v>0</v>
      </c>
    </row>
    <row r="10" spans="1:15" ht="12.75">
      <c r="A10" t="s">
        <v>31</v>
      </c>
      <c r="B10" s="3"/>
      <c r="C10" s="3">
        <f>IF(Material!$A11=1,143.8,IF(Material!$A11=2,23.1,IF(Material!$A11=3,1.1,IF(Material!$A11=4,13.6,IF(Material!$A11=5,5.55,IF(Material!$A11=6,11,IF(Material!$A11=7,76.2,166.2)))))))</f>
        <v>23.1</v>
      </c>
      <c r="D10" s="3">
        <f>IF(Material!$A11=1,143.8,IF(Material!$A11=2,23.1,IF(Material!$A11=3,1.1,IF(Material!$A11=4,13.6,IF(Material!$A11=5,5.55,IF(Material!$A11=6,11,IF(Material!$A11=7,76.2,166.2)))))))</f>
        <v>23.1</v>
      </c>
      <c r="E10" s="3">
        <f>IF(Material!$A11=1,143.8,IF(Material!$A11=2,23.1,IF(Material!$A11=3,1.1,IF(Material!$A11=4,13.6,IF(Material!$A11=5,5.55,IF(Material!$A11=6,11,IF(Material!$A11=7,76.2,166.2)))))))</f>
        <v>23.1</v>
      </c>
      <c r="F10" s="3">
        <f>IF(Material!$A11=1,143.8,IF(Material!$A11=2,23.1,IF(Material!$A11=3,1.1,IF(Material!$A11=4,13.6,IF(Material!$A11=5,5.55,IF(Material!$A11=6,11,IF(Material!$A11=7,76.2,166.2)))))))</f>
        <v>23.1</v>
      </c>
      <c r="G10" s="3">
        <f>IF(Material!$A11=1,143.8,IF(Material!$A11=2,23.1,IF(Material!$A11=3,1.1,IF(Material!$A11=4,13.6,IF(Material!$A11=5,5.55,IF(Material!$A11=6,11,IF(Material!$A11=7,76.2,166.2)))))))</f>
        <v>23.1</v>
      </c>
      <c r="H10" s="3">
        <f>IF(Material!$A11=1,143.8,IF(Material!$A11=2,23.1,IF(Material!$A11=3,1.1,IF(Material!$A11=4,13.6,IF(Material!$A11=5,5.55,IF(Material!$A11=6,11,IF(Material!$A11=7,76.2,166.2)))))))</f>
        <v>23.1</v>
      </c>
      <c r="I10" s="3">
        <f>IF(Material!$A11=1,143.8,IF(Material!$A11=2,23.1,IF(Material!$A11=3,1.1,IF(Material!$A11=4,13.6,IF(Material!$A11=5,5.55,IF(Material!$A11=6,11,IF(Material!$A11=7,76.2,166.2)))))))</f>
        <v>23.1</v>
      </c>
      <c r="J10" s="3">
        <f>IF(Material!$A11=1,143.8,IF(Material!$A11=2,23.1,IF(Material!$A11=3,1.1,IF(Material!$A11=4,13.6,IF(Material!$A11=5,5.55,IF(Material!$A11=6,11,IF(Material!$A11=7,76.2,166.2)))))))</f>
        <v>23.1</v>
      </c>
      <c r="K10" s="3">
        <f>IF(Material!$A11=1,143.8,IF(Material!$A11=2,23.1,IF(Material!$A11=3,1.1,IF(Material!$A11=4,13.6,IF(Material!$A11=5,5.55,IF(Material!$A11=6,11,IF(Material!$A11=7,76.2,166.2)))))))</f>
        <v>23.1</v>
      </c>
      <c r="L10" s="3">
        <f>IF(Material!$A11=1,143.8,IF(Material!$A11=2,23.1,IF(Material!$A11=3,1.1,IF(Material!$A11=4,13.6,IF(Material!$A11=5,5.55,IF(Material!$A11=6,11,IF(Material!$A11=7,76.2,166.2)))))))</f>
        <v>23.1</v>
      </c>
      <c r="M10" s="3">
        <f>IF(Material!$A11=1,143.8,IF(Material!$A11=2,23.1,IF(Material!$A11=3,1.1,IF(Material!$A11=4,13.6,IF(Material!$A11=5,5.55,IF(Material!$A11=6,11,IF(Material!$A11=7,76.2,166.2)))))))</f>
        <v>23.1</v>
      </c>
      <c r="N10" s="3">
        <f>IF(Material!$A11=1,143.8,IF(Material!$A11=2,23.1,IF(Material!$A11=3,1.1,IF(Material!$A11=4,13.6,IF(Material!$A11=5,5.55,IF(Material!$A11=6,11,IF(Material!$A11=7,76.2,166.2)))))))</f>
        <v>23.1</v>
      </c>
      <c r="O10" s="3"/>
    </row>
    <row r="11" spans="1:14" ht="12.75">
      <c r="A11" t="s">
        <v>32</v>
      </c>
      <c r="B11" t="s">
        <v>73</v>
      </c>
      <c r="C11">
        <f>IF(Material!$A11=1,0.32,IF(Material!$A11=2,1.1,IF(Material!$A11=3,2.25,IF(Material!$A11=4,1.45,IF(Material!$A11=5,1.65,IF(Material!$A11=6,1.1,IF(Material!$A11=7,1,0.16)))))))</f>
        <v>1.1</v>
      </c>
      <c r="D11">
        <f>IF(Material!$A11=1,0.32,IF(Material!$A11=2,1.1,IF(Material!$A11=3,2.25,IF(Material!$A11=4,1.45,IF(Material!$A11=5,1.65,IF(Material!$A11=6,1.1,IF(Material!$A11=7,1,0.16)))))))</f>
        <v>1.1</v>
      </c>
      <c r="E11">
        <f>IF(Material!$A11=1,0.32,IF(Material!$A11=2,1.1,IF(Material!$A11=3,2.25,IF(Material!$A11=4,1.45,IF(Material!$A11=5,1.65,IF(Material!$A11=6,1.1,IF(Material!$A11=7,1,0.16)))))))</f>
        <v>1.1</v>
      </c>
      <c r="F11">
        <f>IF(Material!$A11=1,0.32,IF(Material!$A11=2,1.1,IF(Material!$A11=3,2.25,IF(Material!$A11=4,1.45,IF(Material!$A11=5,1.65,IF(Material!$A11=6,1.1,IF(Material!$A11=7,1,0.16)))))))</f>
        <v>1.1</v>
      </c>
      <c r="G11">
        <f>IF(Material!$A11=1,0.32,IF(Material!$A11=2,1.1,IF(Material!$A11=3,2.25,IF(Material!$A11=4,1.45,IF(Material!$A11=5,1.65,IF(Material!$A11=6,1.1,IF(Material!$A11=7,1,0.16)))))))</f>
        <v>1.1</v>
      </c>
      <c r="H11">
        <f>IF(Material!$A11=1,0.32,IF(Material!$A11=2,1.1,IF(Material!$A11=3,2.25,IF(Material!$A11=4,1.45,IF(Material!$A11=5,1.65,IF(Material!$A11=6,1.1,IF(Material!$A11=7,1,0.16)))))))</f>
        <v>1.1</v>
      </c>
      <c r="I11">
        <f>IF(Material!$A11=1,0.32,IF(Material!$A11=2,1.1,IF(Material!$A11=3,2.25,IF(Material!$A11=4,1.45,IF(Material!$A11=5,1.65,IF(Material!$A11=6,1.1,IF(Material!$A11=7,1,0.16)))))))</f>
        <v>1.1</v>
      </c>
      <c r="J11">
        <f>IF(Material!$A11=1,0.32,IF(Material!$A11=2,1.1,IF(Material!$A11=3,2.25,IF(Material!$A11=4,1.45,IF(Material!$A11=5,1.65,IF(Material!$A11=6,1.1,IF(Material!$A11=7,1,0.16)))))))</f>
        <v>1.1</v>
      </c>
      <c r="K11">
        <f>IF(Material!$A11=1,0.32,IF(Material!$A11=2,1.1,IF(Material!$A11=3,2.25,IF(Material!$A11=4,1.45,IF(Material!$A11=5,1.65,IF(Material!$A11=6,1.1,IF(Material!$A11=7,1,0.16)))))))</f>
        <v>1.1</v>
      </c>
      <c r="L11">
        <f>IF(Material!$A11=1,0.32,IF(Material!$A11=2,1.1,IF(Material!$A11=3,2.25,IF(Material!$A11=4,1.45,IF(Material!$A11=5,1.65,IF(Material!$A11=6,1.1,IF(Material!$A11=7,1,0.16)))))))</f>
        <v>1.1</v>
      </c>
      <c r="M11">
        <f>IF(Material!$A11=1,0.32,IF(Material!$A11=2,1.1,IF(Material!$A11=3,2.25,IF(Material!$A11=4,1.45,IF(Material!$A11=5,1.65,IF(Material!$A11=6,1.1,IF(Material!$A11=7,1,0.16)))))))</f>
        <v>1.1</v>
      </c>
      <c r="N11">
        <f>IF(Material!$A11=1,0.32,IF(Material!$A11=2,1.1,IF(Material!$A11=3,2.25,IF(Material!$A11=4,1.45,IF(Material!$A11=5,1.65,IF(Material!$A11=6,1.1,IF(Material!$A11=7,1,0.16)))))))</f>
        <v>1.1</v>
      </c>
    </row>
    <row r="12" spans="1:14" ht="12.75">
      <c r="A12" t="s">
        <v>47</v>
      </c>
      <c r="B12" t="s">
        <v>75</v>
      </c>
      <c r="C12">
        <f>(5*C3+(0.5*C4))*Main!$D18/Mill!C10</f>
        <v>6.401515151515151</v>
      </c>
      <c r="D12">
        <f>(5*D3+(0.5*D4))*Main!$D18/Mill!D10</f>
        <v>6.401515151515151</v>
      </c>
      <c r="E12">
        <f>(5*E3+(0.5*E4))*Main!$D18/Mill!E10</f>
        <v>6.401515151515151</v>
      </c>
      <c r="F12">
        <f>(5*F3+(0.5*F4))*Main!$D18/Mill!F10</f>
        <v>6.401515151515151</v>
      </c>
      <c r="G12">
        <f>(5*G3+(0.5*G4))*Main!$D18/Mill!G10</f>
        <v>6.401515151515151</v>
      </c>
      <c r="H12">
        <f>(5*H3+(0.5*H4))*Main!$D18/Mill!H10</f>
        <v>6.401515151515151</v>
      </c>
      <c r="I12">
        <f>(5*I3+(0.5*I4))*Main!$D18/Mill!I10</f>
        <v>6.401515151515151</v>
      </c>
      <c r="J12">
        <f>(5*J3+(0.5*J4))*Main!$D18/Mill!J10</f>
        <v>6.401515151515151</v>
      </c>
      <c r="K12">
        <f>(5*K3+(0.5*K4))*Main!$D18/Mill!K10</f>
        <v>6.401515151515151</v>
      </c>
      <c r="L12">
        <f>(5*L3+(0.5*L4))*Main!$D18/Mill!L10</f>
        <v>6.401515151515151</v>
      </c>
      <c r="M12">
        <f>(5*M3+(0.5*M4))*Main!$D18/Mill!M10</f>
        <v>6.401515151515151</v>
      </c>
      <c r="N12">
        <f>(5*N3+(0.5*N4))*Main!$D18/Mill!N10</f>
        <v>6.401515151515151</v>
      </c>
    </row>
    <row r="13" spans="1:14" ht="12.75">
      <c r="A13" t="s">
        <v>48</v>
      </c>
      <c r="B13" t="s">
        <v>71</v>
      </c>
      <c r="C13">
        <f>IF(C9&lt;0.4,0.5,IF(C9&lt;10,2.2,IF(C9&lt;30,6.1,IF(C9&lt;60,13.7,25))))</f>
        <v>0.5</v>
      </c>
      <c r="D13">
        <f aca="true" t="shared" si="1" ref="D13:M13">IF(D9&lt;0.4,0.5,IF(D9&lt;10,2.2,IF(D9&lt;30,6.1,IF(D9&lt;60,13.7,25))))</f>
        <v>0.5</v>
      </c>
      <c r="E13">
        <f t="shared" si="1"/>
        <v>0.5</v>
      </c>
      <c r="F13">
        <f t="shared" si="1"/>
        <v>0.5</v>
      </c>
      <c r="G13">
        <f t="shared" si="1"/>
        <v>0.5</v>
      </c>
      <c r="H13">
        <f t="shared" si="1"/>
        <v>0.5</v>
      </c>
      <c r="I13">
        <f t="shared" si="1"/>
        <v>0.5</v>
      </c>
      <c r="J13">
        <f t="shared" si="1"/>
        <v>0.5</v>
      </c>
      <c r="K13">
        <f t="shared" si="1"/>
        <v>0.5</v>
      </c>
      <c r="L13">
        <f t="shared" si="1"/>
        <v>0.5</v>
      </c>
      <c r="M13">
        <f t="shared" si="1"/>
        <v>0.5</v>
      </c>
      <c r="N13">
        <f>IF(N9&lt;0.4,0.5,IF(N9&lt;10,2.2,IF(N9&lt;30,6.1,IF(N9&lt;60,13.7,25))))</f>
        <v>0.5</v>
      </c>
    </row>
    <row r="14" spans="1:14" ht="12.75">
      <c r="A14" t="s">
        <v>49</v>
      </c>
      <c r="B14" t="s">
        <v>71</v>
      </c>
      <c r="C14">
        <f>IF(C9&lt;0.4,16,IF(C9&lt;10,44.6,IF(C9&lt;30,60.2,IF(C9&lt;60,90,305))))</f>
        <v>16</v>
      </c>
      <c r="D14">
        <f aca="true" t="shared" si="2" ref="D14:M14">IF(D9&lt;0.4,16,IF(D9&lt;10,44.6,IF(D9&lt;30,60.2,IF(D9&lt;60,90,305))))</f>
        <v>16</v>
      </c>
      <c r="E14">
        <f t="shared" si="2"/>
        <v>16</v>
      </c>
      <c r="F14">
        <f t="shared" si="2"/>
        <v>16</v>
      </c>
      <c r="G14">
        <f t="shared" si="2"/>
        <v>16</v>
      </c>
      <c r="H14">
        <f t="shared" si="2"/>
        <v>16</v>
      </c>
      <c r="I14">
        <f t="shared" si="2"/>
        <v>16</v>
      </c>
      <c r="J14">
        <f t="shared" si="2"/>
        <v>16</v>
      </c>
      <c r="K14">
        <f t="shared" si="2"/>
        <v>16</v>
      </c>
      <c r="L14">
        <f t="shared" si="2"/>
        <v>16</v>
      </c>
      <c r="M14">
        <f t="shared" si="2"/>
        <v>16</v>
      </c>
      <c r="N14">
        <f>IF(N9&lt;0.4,16,IF(N9&lt;10,44.6,IF(N9&lt;30,60.2,IF(N9&lt;60,90,305))))</f>
        <v>16</v>
      </c>
    </row>
    <row r="15" spans="1:14" ht="12.75">
      <c r="A15" t="s">
        <v>50</v>
      </c>
      <c r="B15" t="s">
        <v>76</v>
      </c>
      <c r="C15">
        <f>60*C8*C11/C13</f>
        <v>0</v>
      </c>
      <c r="D15">
        <f aca="true" t="shared" si="3" ref="D15:M15">60*D8*D11/D13</f>
        <v>0</v>
      </c>
      <c r="E15">
        <f t="shared" si="3"/>
        <v>0</v>
      </c>
      <c r="F15">
        <f t="shared" si="3"/>
        <v>0</v>
      </c>
      <c r="G15">
        <f t="shared" si="3"/>
        <v>0</v>
      </c>
      <c r="H15">
        <f t="shared" si="3"/>
        <v>0</v>
      </c>
      <c r="I15">
        <f t="shared" si="3"/>
        <v>0</v>
      </c>
      <c r="J15">
        <f t="shared" si="3"/>
        <v>0</v>
      </c>
      <c r="K15">
        <f t="shared" si="3"/>
        <v>0</v>
      </c>
      <c r="L15">
        <f t="shared" si="3"/>
        <v>0</v>
      </c>
      <c r="M15">
        <f t="shared" si="3"/>
        <v>0</v>
      </c>
      <c r="N15">
        <f>60*N8*N11/N13</f>
        <v>0</v>
      </c>
    </row>
    <row r="16" spans="1:15" ht="12.75">
      <c r="A16" t="s">
        <v>51</v>
      </c>
      <c r="B16" t="s">
        <v>62</v>
      </c>
      <c r="C16" s="3">
        <f>4100*(1+Main!$H14)/Mill!C2</f>
        <v>12300</v>
      </c>
      <c r="D16" s="3">
        <f>4100*(1+Main!$H14)/Mill!D2</f>
        <v>4100</v>
      </c>
      <c r="E16" s="3">
        <f>4100*(1+Main!$H14)/Mill!E2</f>
        <v>2460</v>
      </c>
      <c r="F16" s="3">
        <f>4100*(1+Main!$H14)/Mill!F2</f>
        <v>1757.142857142857</v>
      </c>
      <c r="G16" s="3">
        <f>4100*(1+Main!$H14)/Mill!G2</f>
        <v>1230</v>
      </c>
      <c r="H16" s="3">
        <f>4100*(1+Main!$H14)/Mill!H2</f>
        <v>615</v>
      </c>
      <c r="I16" s="3">
        <f>4100*(1+Main!$H14)/Mill!I2</f>
        <v>246</v>
      </c>
      <c r="J16" s="3">
        <f>4100*(1+Main!$H14)/Mill!J2</f>
        <v>123</v>
      </c>
      <c r="K16" s="3">
        <f>4100*(1+Main!$H14)/Mill!K2</f>
        <v>49.2</v>
      </c>
      <c r="L16" s="3">
        <f>4100*(1+Main!$H14)/Mill!L2</f>
        <v>24.6</v>
      </c>
      <c r="M16" s="3">
        <f>4100*(1+Main!$H14)/Mill!M2</f>
        <v>12.3</v>
      </c>
      <c r="N16" s="3">
        <f>4100*(1+Main!$H14)/Mill!N2</f>
        <v>123</v>
      </c>
      <c r="O16" s="3"/>
    </row>
    <row r="17" spans="1:14" ht="12.75">
      <c r="A17" t="s">
        <v>52</v>
      </c>
      <c r="B17" t="s">
        <v>71</v>
      </c>
      <c r="C17">
        <f>IF(C15&gt;C12,1.05*C15,1.33*C12)</f>
        <v>8.514015151515151</v>
      </c>
      <c r="D17">
        <f aca="true" t="shared" si="4" ref="D17:M17">IF(D15&gt;D12,1.05*D15,1.33*D12)</f>
        <v>8.514015151515151</v>
      </c>
      <c r="E17">
        <f t="shared" si="4"/>
        <v>8.514015151515151</v>
      </c>
      <c r="F17">
        <f t="shared" si="4"/>
        <v>8.514015151515151</v>
      </c>
      <c r="G17">
        <f t="shared" si="4"/>
        <v>8.514015151515151</v>
      </c>
      <c r="H17">
        <f t="shared" si="4"/>
        <v>8.514015151515151</v>
      </c>
      <c r="I17">
        <f t="shared" si="4"/>
        <v>8.514015151515151</v>
      </c>
      <c r="J17">
        <f t="shared" si="4"/>
        <v>8.514015151515151</v>
      </c>
      <c r="K17">
        <f t="shared" si="4"/>
        <v>8.514015151515151</v>
      </c>
      <c r="L17">
        <f t="shared" si="4"/>
        <v>8.514015151515151</v>
      </c>
      <c r="M17">
        <f t="shared" si="4"/>
        <v>8.514015151515151</v>
      </c>
      <c r="N17">
        <f>IF(N15&gt;N12,1.05*N15,1.33*N12)</f>
        <v>8.514015151515151</v>
      </c>
    </row>
    <row r="18" spans="1:14" ht="12.75">
      <c r="A18" t="s">
        <v>53</v>
      </c>
      <c r="B18" t="s">
        <v>78</v>
      </c>
      <c r="C18">
        <f>C17+C7+C14+C16</f>
        <v>12744.514015151515</v>
      </c>
      <c r="D18">
        <f aca="true" t="shared" si="5" ref="D18:N18">D17+D7+D14+D16</f>
        <v>4544.514015151515</v>
      </c>
      <c r="E18">
        <f t="shared" si="5"/>
        <v>2904.514015151515</v>
      </c>
      <c r="F18">
        <f t="shared" si="5"/>
        <v>2201.656872294372</v>
      </c>
      <c r="G18">
        <f t="shared" si="5"/>
        <v>1674.5140151515152</v>
      </c>
      <c r="H18">
        <f t="shared" si="5"/>
        <v>1059.5140151515152</v>
      </c>
      <c r="I18">
        <f t="shared" si="5"/>
        <v>690.5140151515152</v>
      </c>
      <c r="J18">
        <f t="shared" si="5"/>
        <v>567.5140151515152</v>
      </c>
      <c r="K18">
        <f t="shared" si="5"/>
        <v>493.7140151515151</v>
      </c>
      <c r="L18">
        <f t="shared" si="5"/>
        <v>469.11401515151516</v>
      </c>
      <c r="M18">
        <f t="shared" si="5"/>
        <v>456.81401515151515</v>
      </c>
      <c r="N18">
        <f t="shared" si="5"/>
        <v>567.5140151515152</v>
      </c>
    </row>
    <row r="19" spans="1:14" ht="12.75">
      <c r="A19" t="s">
        <v>54</v>
      </c>
      <c r="B19" t="s">
        <v>79</v>
      </c>
      <c r="C19">
        <f>C18*Material!$C24*Material!$C28/3600</f>
        <v>4.602185616582492</v>
      </c>
      <c r="D19">
        <f>D18*Material!$C24*Material!$C28/3600</f>
        <v>1.6410745054713807</v>
      </c>
      <c r="E19">
        <f>E18*Material!$C24*Material!$C28/3600</f>
        <v>1.0488522832491582</v>
      </c>
      <c r="F19">
        <f>F18*Material!$C24*Material!$C28/3600</f>
        <v>0.7950427594396343</v>
      </c>
      <c r="G19">
        <f>G18*Material!$C24*Material!$C28/3600</f>
        <v>0.6046856165824916</v>
      </c>
      <c r="H19">
        <f>H18*Material!$C24*Material!$C28/3600</f>
        <v>0.3826022832491583</v>
      </c>
      <c r="I19">
        <f>I18*Material!$C24*Material!$C28/3600</f>
        <v>0.24935228324915829</v>
      </c>
      <c r="J19">
        <f>J18*Material!$C24*Material!$C28/3600</f>
        <v>0.20493561658249163</v>
      </c>
      <c r="K19">
        <f>K18*Material!$C24*Material!$C28/3600</f>
        <v>0.17828561658249156</v>
      </c>
      <c r="L19">
        <f>L18*Material!$C24*Material!$C28/3600</f>
        <v>0.16940228324915826</v>
      </c>
      <c r="M19">
        <f>M18*Material!$C24*Material!$C28/3600</f>
        <v>0.1649606165824916</v>
      </c>
      <c r="N19">
        <f>N18*Material!$C24*Material!$C28/3600</f>
        <v>0.20493561658249163</v>
      </c>
    </row>
    <row r="20" spans="1:14" ht="12.75">
      <c r="A20" t="s">
        <v>55</v>
      </c>
      <c r="B20" t="s">
        <v>80</v>
      </c>
      <c r="C20">
        <f>C19*Main!$H16</f>
        <v>161.07649658038721</v>
      </c>
      <c r="D20">
        <f>D19*Main!$H16</f>
        <v>57.43760769149832</v>
      </c>
      <c r="E20">
        <f>E19*Main!$H16</f>
        <v>36.70982991372054</v>
      </c>
      <c r="F20">
        <f>F19*Main!$H16</f>
        <v>27.8264965803872</v>
      </c>
      <c r="G20">
        <f>G19*Main!$H16</f>
        <v>21.163996580387206</v>
      </c>
      <c r="H20">
        <f>H19*Main!$H16</f>
        <v>13.39107991372054</v>
      </c>
      <c r="I20">
        <f>I19*Main!$H16</f>
        <v>8.72732991372054</v>
      </c>
      <c r="J20">
        <f>J19*Main!$H16</f>
        <v>7.172746580387207</v>
      </c>
      <c r="K20">
        <f>K19*Main!$H16</f>
        <v>6.239996580387205</v>
      </c>
      <c r="L20">
        <f>L19*Main!$H16</f>
        <v>5.929079913720539</v>
      </c>
      <c r="M20">
        <f>M19*Main!$H16</f>
        <v>5.773621580387205</v>
      </c>
      <c r="N20">
        <f>N19*Main!$H16</f>
        <v>7.172746580387207</v>
      </c>
    </row>
    <row r="21" spans="1:14" ht="12.75">
      <c r="A21" t="s">
        <v>56</v>
      </c>
      <c r="B21" t="s">
        <v>81</v>
      </c>
      <c r="C21">
        <f>Mill!C9*Mill!C6</f>
        <v>0</v>
      </c>
      <c r="D21">
        <f>Mill!D9*Mill!D6</f>
        <v>0</v>
      </c>
      <c r="E21">
        <f>Mill!E9*Mill!E6</f>
        <v>0</v>
      </c>
      <c r="F21">
        <f>Mill!F9*Mill!F6</f>
        <v>0</v>
      </c>
      <c r="G21">
        <f>Mill!G9*Mill!G6</f>
        <v>0</v>
      </c>
      <c r="H21">
        <f>Mill!H9*Mill!H6</f>
        <v>0</v>
      </c>
      <c r="I21">
        <f>Mill!I9*Mill!I6</f>
        <v>0</v>
      </c>
      <c r="J21">
        <f>Mill!J9*Mill!J6</f>
        <v>0</v>
      </c>
      <c r="K21">
        <f>Mill!K9*Mill!K6</f>
        <v>0</v>
      </c>
      <c r="L21">
        <f>Mill!L9*Mill!L6</f>
        <v>0</v>
      </c>
      <c r="M21">
        <f>Mill!M9*Mill!M6</f>
        <v>0</v>
      </c>
      <c r="N21">
        <f>Mill!N9*Mill!N6</f>
        <v>0</v>
      </c>
    </row>
    <row r="22" spans="1:14" ht="12.75">
      <c r="A22" t="s">
        <v>57</v>
      </c>
      <c r="B22" t="s">
        <v>82</v>
      </c>
      <c r="C22">
        <f>C9*Material!$C10</f>
        <v>0</v>
      </c>
      <c r="D22">
        <f>D9*Material!$C10</f>
        <v>0</v>
      </c>
      <c r="E22">
        <f>E9*Material!$C10</f>
        <v>0</v>
      </c>
      <c r="F22">
        <f>F9*Material!$C10</f>
        <v>0</v>
      </c>
      <c r="G22">
        <f>G9*Material!$C10</f>
        <v>0</v>
      </c>
      <c r="H22">
        <f>H9*Material!$C10</f>
        <v>0</v>
      </c>
      <c r="I22">
        <f>I9*Material!$C10</f>
        <v>0</v>
      </c>
      <c r="J22">
        <f>J9*Material!$C10</f>
        <v>0</v>
      </c>
      <c r="K22">
        <f>K9*Material!$C10</f>
        <v>0</v>
      </c>
      <c r="L22">
        <f>L9*Material!$C10</f>
        <v>0</v>
      </c>
      <c r="M22">
        <f>M9*Material!$C10</f>
        <v>0</v>
      </c>
      <c r="N22">
        <f>N9*Material!$C10</f>
        <v>0</v>
      </c>
    </row>
    <row r="23" spans="1:14" s="5" customFormat="1" ht="12.75">
      <c r="A23" s="5" t="s">
        <v>58</v>
      </c>
      <c r="B23" s="5" t="s">
        <v>83</v>
      </c>
      <c r="C23" s="5">
        <f>C20+C22</f>
        <v>161.07649658038721</v>
      </c>
      <c r="D23" s="5">
        <f aca="true" t="shared" si="6" ref="D23:N23">D20+D22</f>
        <v>57.43760769149832</v>
      </c>
      <c r="E23" s="5">
        <f t="shared" si="6"/>
        <v>36.70982991372054</v>
      </c>
      <c r="F23" s="5">
        <f t="shared" si="6"/>
        <v>27.8264965803872</v>
      </c>
      <c r="G23" s="5">
        <f t="shared" si="6"/>
        <v>21.163996580387206</v>
      </c>
      <c r="H23" s="5">
        <f t="shared" si="6"/>
        <v>13.39107991372054</v>
      </c>
      <c r="I23" s="5">
        <f t="shared" si="6"/>
        <v>8.72732991372054</v>
      </c>
      <c r="J23" s="5">
        <f t="shared" si="6"/>
        <v>7.172746580387207</v>
      </c>
      <c r="K23" s="5">
        <f t="shared" si="6"/>
        <v>6.239996580387205</v>
      </c>
      <c r="L23" s="5">
        <f t="shared" si="6"/>
        <v>5.929079913720539</v>
      </c>
      <c r="M23" s="5">
        <f t="shared" si="6"/>
        <v>5.773621580387205</v>
      </c>
      <c r="N23" s="5">
        <f t="shared" si="6"/>
        <v>7.172746580387207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6"/>
  <sheetViews>
    <sheetView workbookViewId="0" topLeftCell="D25">
      <selection activeCell="N3" sqref="N3"/>
    </sheetView>
  </sheetViews>
  <sheetFormatPr defaultColWidth="9.140625" defaultRowHeight="12.75"/>
  <cols>
    <col min="2" max="2" width="17.00390625" style="0" customWidth="1"/>
  </cols>
  <sheetData>
    <row r="1" ht="12.75">
      <c r="A1" t="s">
        <v>13</v>
      </c>
    </row>
    <row r="2" spans="1:14" ht="12.75">
      <c r="A2" t="s">
        <v>18</v>
      </c>
      <c r="B2" t="s">
        <v>17</v>
      </c>
      <c r="C2" s="2">
        <v>1</v>
      </c>
      <c r="D2">
        <v>3</v>
      </c>
      <c r="E2">
        <v>5</v>
      </c>
      <c r="F2">
        <v>7</v>
      </c>
      <c r="G2">
        <v>10</v>
      </c>
      <c r="H2">
        <v>20</v>
      </c>
      <c r="I2">
        <v>50</v>
      </c>
      <c r="J2">
        <v>100</v>
      </c>
      <c r="K2">
        <v>250</v>
      </c>
      <c r="L2">
        <v>500</v>
      </c>
      <c r="M2">
        <v>1000</v>
      </c>
      <c r="N2">
        <f>Main!H15</f>
        <v>100</v>
      </c>
    </row>
    <row r="3" spans="1:14" ht="12.75">
      <c r="A3" s="1" t="s">
        <v>30</v>
      </c>
      <c r="C3">
        <f>Main!$D14</f>
        <v>4</v>
      </c>
      <c r="D3">
        <f>Main!$D14</f>
        <v>4</v>
      </c>
      <c r="E3">
        <f>Main!$D14</f>
        <v>4</v>
      </c>
      <c r="F3">
        <f>Main!$D14</f>
        <v>4</v>
      </c>
      <c r="G3">
        <f>Main!$D14</f>
        <v>4</v>
      </c>
      <c r="H3">
        <f>Main!$D14</f>
        <v>4</v>
      </c>
      <c r="I3">
        <f>Main!$D14</f>
        <v>4</v>
      </c>
      <c r="J3">
        <f>Main!$D14</f>
        <v>4</v>
      </c>
      <c r="K3">
        <f>Main!$D14</f>
        <v>4</v>
      </c>
      <c r="L3">
        <f>Main!$D14</f>
        <v>4</v>
      </c>
      <c r="M3">
        <f>Main!$D14</f>
        <v>4</v>
      </c>
      <c r="N3">
        <f>Main!$D14</f>
        <v>4</v>
      </c>
    </row>
    <row r="4" spans="1:14" ht="12.75">
      <c r="A4" s="1" t="s">
        <v>35</v>
      </c>
      <c r="C4">
        <f>Main!$D15</f>
        <v>2.25</v>
      </c>
      <c r="D4">
        <f>Main!$D15</f>
        <v>2.25</v>
      </c>
      <c r="E4">
        <f>Main!$D15</f>
        <v>2.25</v>
      </c>
      <c r="F4">
        <f>Main!$D15</f>
        <v>2.25</v>
      </c>
      <c r="G4">
        <f>Main!$D15</f>
        <v>2.25</v>
      </c>
      <c r="H4">
        <f>Main!$D15</f>
        <v>2.25</v>
      </c>
      <c r="I4">
        <f>Main!$D15</f>
        <v>2.25</v>
      </c>
      <c r="J4">
        <f>Main!$D15</f>
        <v>2.25</v>
      </c>
      <c r="K4">
        <f>Main!$D15</f>
        <v>2.25</v>
      </c>
      <c r="L4">
        <f>Main!$D15</f>
        <v>2.25</v>
      </c>
      <c r="M4">
        <f>Main!$D15</f>
        <v>2.25</v>
      </c>
      <c r="N4">
        <f>Main!$D15</f>
        <v>2.25</v>
      </c>
    </row>
    <row r="5" spans="1:14" ht="12.75">
      <c r="A5" s="1" t="s">
        <v>29</v>
      </c>
      <c r="C5">
        <f>Main!$D16</f>
        <v>0</v>
      </c>
      <c r="D5">
        <f>Main!$D16</f>
        <v>0</v>
      </c>
      <c r="E5">
        <f>Main!$D16</f>
        <v>0</v>
      </c>
      <c r="F5">
        <f>Main!$D16</f>
        <v>0</v>
      </c>
      <c r="G5">
        <f>Main!$D16</f>
        <v>0</v>
      </c>
      <c r="H5">
        <f>Main!$D16</f>
        <v>0</v>
      </c>
      <c r="I5">
        <f>Main!$D16</f>
        <v>0</v>
      </c>
      <c r="J5">
        <f>Main!$D16</f>
        <v>0</v>
      </c>
      <c r="K5">
        <f>Main!$D16</f>
        <v>0</v>
      </c>
      <c r="L5">
        <f>Main!$D16</f>
        <v>0</v>
      </c>
      <c r="M5">
        <f>Main!$D16</f>
        <v>0</v>
      </c>
      <c r="N5">
        <f>Main!$D16</f>
        <v>0</v>
      </c>
    </row>
    <row r="6" spans="1:14" ht="12.75">
      <c r="A6" s="1" t="s">
        <v>70</v>
      </c>
      <c r="C6">
        <f>(Main!$D18+Main!$D19)</f>
        <v>10</v>
      </c>
      <c r="D6">
        <f>(Main!$D18+Main!$D19)</f>
        <v>10</v>
      </c>
      <c r="E6">
        <f>(Main!$D18+Main!$D19)</f>
        <v>10</v>
      </c>
      <c r="F6">
        <f>(Main!$D18+Main!$D19)</f>
        <v>10</v>
      </c>
      <c r="G6">
        <f>(Main!$D18+Main!$D19)</f>
        <v>10</v>
      </c>
      <c r="H6">
        <f>(Main!$D18+Main!$D19)</f>
        <v>10</v>
      </c>
      <c r="I6">
        <f>(Main!$D18+Main!$D19)</f>
        <v>10</v>
      </c>
      <c r="J6">
        <f>(Main!$D18+Main!$D19)</f>
        <v>10</v>
      </c>
      <c r="K6">
        <f>(Main!$D18+Main!$D19)</f>
        <v>10</v>
      </c>
      <c r="L6">
        <f>(Main!$D18+Main!$D19)</f>
        <v>10</v>
      </c>
      <c r="M6">
        <f>(Main!$D18+Main!$D19)</f>
        <v>10</v>
      </c>
      <c r="N6">
        <f>(Main!$D18+Main!$D19)</f>
        <v>10</v>
      </c>
    </row>
    <row r="7" spans="1:14" ht="12.75">
      <c r="A7" s="3" t="s">
        <v>36</v>
      </c>
      <c r="C7">
        <f>Main!$D17/100</f>
        <v>0.32</v>
      </c>
      <c r="D7">
        <f>Main!$D17/100</f>
        <v>0.32</v>
      </c>
      <c r="E7">
        <f>Main!$D17/100</f>
        <v>0.32</v>
      </c>
      <c r="F7">
        <f>Main!$D17/100</f>
        <v>0.32</v>
      </c>
      <c r="G7">
        <f>Main!$D17/100</f>
        <v>0.32</v>
      </c>
      <c r="H7">
        <f>Main!$D17/100</f>
        <v>0.32</v>
      </c>
      <c r="I7">
        <f>Main!$D17/100</f>
        <v>0.32</v>
      </c>
      <c r="J7">
        <f>Main!$D17/100</f>
        <v>0.32</v>
      </c>
      <c r="K7">
        <f>Main!$D17/100</f>
        <v>0.32</v>
      </c>
      <c r="L7">
        <f>Main!$D17/100</f>
        <v>0.32</v>
      </c>
      <c r="M7">
        <f>Main!$D17/100</f>
        <v>0.32</v>
      </c>
      <c r="N7">
        <f>Main!$D17/100</f>
        <v>0.32</v>
      </c>
    </row>
    <row r="8" spans="1:14" ht="12.75">
      <c r="A8" t="s">
        <v>28</v>
      </c>
      <c r="B8" t="s">
        <v>33</v>
      </c>
      <c r="C8">
        <f>25*C6</f>
        <v>250</v>
      </c>
      <c r="D8">
        <f aca="true" t="shared" si="0" ref="D8:N8">25*D6</f>
        <v>250</v>
      </c>
      <c r="E8">
        <f t="shared" si="0"/>
        <v>250</v>
      </c>
      <c r="F8">
        <f t="shared" si="0"/>
        <v>250</v>
      </c>
      <c r="G8">
        <f t="shared" si="0"/>
        <v>250</v>
      </c>
      <c r="H8">
        <f t="shared" si="0"/>
        <v>250</v>
      </c>
      <c r="I8">
        <f t="shared" si="0"/>
        <v>250</v>
      </c>
      <c r="J8">
        <f t="shared" si="0"/>
        <v>250</v>
      </c>
      <c r="K8">
        <f t="shared" si="0"/>
        <v>250</v>
      </c>
      <c r="L8">
        <f t="shared" si="0"/>
        <v>250</v>
      </c>
      <c r="M8">
        <f t="shared" si="0"/>
        <v>250</v>
      </c>
      <c r="N8">
        <f t="shared" si="0"/>
        <v>250</v>
      </c>
    </row>
    <row r="9" spans="1:14" ht="12.75">
      <c r="A9" t="s">
        <v>34</v>
      </c>
      <c r="B9" t="s">
        <v>64</v>
      </c>
      <c r="C9">
        <f>0.785*C3*(C4^2-C5^2)*(1-C7)</f>
        <v>10.80945</v>
      </c>
      <c r="D9">
        <f aca="true" t="shared" si="1" ref="D9:N9">0.785*D3*(D4^2-D5^2)*(1-D7)</f>
        <v>10.80945</v>
      </c>
      <c r="E9">
        <f t="shared" si="1"/>
        <v>10.80945</v>
      </c>
      <c r="F9">
        <f t="shared" si="1"/>
        <v>10.80945</v>
      </c>
      <c r="G9">
        <f t="shared" si="1"/>
        <v>10.80945</v>
      </c>
      <c r="H9">
        <f t="shared" si="1"/>
        <v>10.80945</v>
      </c>
      <c r="I9">
        <f t="shared" si="1"/>
        <v>10.80945</v>
      </c>
      <c r="J9">
        <f t="shared" si="1"/>
        <v>10.80945</v>
      </c>
      <c r="K9">
        <f t="shared" si="1"/>
        <v>10.80945</v>
      </c>
      <c r="L9">
        <f t="shared" si="1"/>
        <v>10.80945</v>
      </c>
      <c r="M9">
        <f t="shared" si="1"/>
        <v>10.80945</v>
      </c>
      <c r="N9">
        <f t="shared" si="1"/>
        <v>10.80945</v>
      </c>
    </row>
    <row r="10" spans="1:14" ht="12.75">
      <c r="A10" s="3" t="s">
        <v>46</v>
      </c>
      <c r="B10" t="s">
        <v>72</v>
      </c>
      <c r="C10">
        <f>IF(Material!$A16=1,Lathe!C9/(1-Lathe!C7)*Material!$D11/Lathe!C7,IF(Material!$A16=2,0.785*Lathe!C4^2*Lathe!C3*Material!$D11,Lathe!C9/(1-Lathe!C7)*Material!$D11))</f>
        <v>4.49863875</v>
      </c>
      <c r="D10">
        <f>IF(Material!$A16=1,Lathe!D9/(1-Lathe!D7)*Material!$D11/Lathe!D7,IF(Material!$A16=2,0.785*Lathe!D4^2*Lathe!D3*Material!$D11,Lathe!D9/(1-Lathe!D7)*Material!$D11))</f>
        <v>4.49863875</v>
      </c>
      <c r="E10">
        <f>IF(Material!$A16=1,Lathe!E9/(1-Lathe!E7)*Material!$D11/Lathe!E7,IF(Material!$A16=2,0.785*Lathe!E4^2*Lathe!E3*Material!$D11,Lathe!E9/(1-Lathe!E7)*Material!$D11))</f>
        <v>4.49863875</v>
      </c>
      <c r="F10">
        <f>IF(Material!$A16=1,Lathe!F9/(1-Lathe!F7)*Material!$D11/Lathe!F7,IF(Material!$A16=2,0.785*Lathe!F4^2*Lathe!F3*Material!$D11,Lathe!F9/(1-Lathe!F7)*Material!$D11))</f>
        <v>4.49863875</v>
      </c>
      <c r="G10">
        <f>IF(Material!$A16=1,Lathe!G9/(1-Lathe!G7)*Material!$D11/Lathe!G7,IF(Material!$A16=2,0.785*Lathe!G4^2*Lathe!G3*Material!$D11,Lathe!G9/(1-Lathe!G7)*Material!$D11))</f>
        <v>4.49863875</v>
      </c>
      <c r="H10">
        <f>IF(Material!$A16=1,Lathe!H9/(1-Lathe!H7)*Material!$D11/Lathe!H7,IF(Material!$A16=2,0.785*Lathe!H4^2*Lathe!H3*Material!$D11,Lathe!H9/(1-Lathe!H7)*Material!$D11))</f>
        <v>4.49863875</v>
      </c>
      <c r="I10">
        <f>IF(Material!$A16=1,Lathe!I9/(1-Lathe!I7)*Material!$D11/Lathe!I7,IF(Material!$A16=2,0.785*Lathe!I4^2*Lathe!I3*Material!$D11,Lathe!I9/(1-Lathe!I7)*Material!$D11))</f>
        <v>4.49863875</v>
      </c>
      <c r="J10">
        <f>IF(Material!$A16=1,Lathe!J9/(1-Lathe!J7)*Material!$D11/Lathe!J7,IF(Material!$A16=2,0.785*Lathe!J4^2*Lathe!J3*Material!$D11,Lathe!J9/(1-Lathe!J7)*Material!$D11))</f>
        <v>4.49863875</v>
      </c>
      <c r="K10">
        <f>IF(Material!$A16=1,Lathe!K9/(1-Lathe!K7)*Material!$D11/Lathe!K7,IF(Material!$A16=2,0.785*Lathe!K4^2*Lathe!K3*Material!$D11,Lathe!K9/(1-Lathe!K7)*Material!$D11))</f>
        <v>4.49863875</v>
      </c>
      <c r="L10">
        <f>IF(Material!$A16=1,Lathe!L9/(1-Lathe!L7)*Material!$D11/Lathe!L7,IF(Material!$A16=2,0.785*Lathe!L4^2*Lathe!L3*Material!$D11,Lathe!L9/(1-Lathe!L7)*Material!$D11))</f>
        <v>4.49863875</v>
      </c>
      <c r="M10">
        <f>IF(Material!$A16=1,Lathe!M9/(1-Lathe!M7)*Material!$D11/Lathe!M7,IF(Material!$A16=2,0.785*Lathe!M4^2*Lathe!M3*Material!$D11,Lathe!M9/(1-Lathe!M7)*Material!$D11))</f>
        <v>4.49863875</v>
      </c>
      <c r="N10">
        <f>IF(Material!$A16=1,Lathe!N9/(1-Lathe!N7)*Material!$D11/Lathe!N7,IF(Material!$A16=2,0.785*Lathe!N4^2*Lathe!N3*Material!$D11,Lathe!N9/(1-Lathe!N7)*Material!$D11))</f>
        <v>4.49863875</v>
      </c>
    </row>
    <row r="11" spans="1:14" ht="12.75">
      <c r="A11" s="3" t="s">
        <v>67</v>
      </c>
      <c r="B11" t="s">
        <v>62</v>
      </c>
      <c r="C11">
        <f>IF(Material!$A11=1,116.8,IF(Material!$A11=2,52.8,IF(Material!$A11=3,3.8,IF(Material!$A11=4,30.2,IF(Material!$A11=5,8.8,IF(Material!$A11=6,10.48,IF(Material!$A11=7,84.1,169.1)))))))</f>
        <v>52.8</v>
      </c>
      <c r="D11">
        <f>IF(Material!$A11=1,116.8,IF(Material!$A11=2,52.8,IF(Material!$A11=3,3.8,IF(Material!$A11=4,30.2,IF(Material!$A11=5,8.8,IF(Material!$A11=6,10.48,IF(Material!$A11=7,84.1,169.1)))))))</f>
        <v>52.8</v>
      </c>
      <c r="E11">
        <f>IF(Material!$A11=1,116.8,IF(Material!$A11=2,52.8,IF(Material!$A11=3,3.8,IF(Material!$A11=4,30.2,IF(Material!$A11=5,8.8,IF(Material!$A11=6,10.48,IF(Material!$A11=7,84.1,169.1)))))))</f>
        <v>52.8</v>
      </c>
      <c r="F11">
        <f>IF(Material!$A11=1,116.8,IF(Material!$A11=2,52.8,IF(Material!$A11=3,3.8,IF(Material!$A11=4,30.2,IF(Material!$A11=5,8.8,IF(Material!$A11=6,10.48,IF(Material!$A11=7,84.1,169.1)))))))</f>
        <v>52.8</v>
      </c>
      <c r="G11">
        <f>IF(Material!$A11=1,116.8,IF(Material!$A11=2,52.8,IF(Material!$A11=3,3.8,IF(Material!$A11=4,30.2,IF(Material!$A11=5,8.8,IF(Material!$A11=6,10.48,IF(Material!$A11=7,84.1,169.1)))))))</f>
        <v>52.8</v>
      </c>
      <c r="H11">
        <f>IF(Material!$A11=1,116.8,IF(Material!$A11=2,52.8,IF(Material!$A11=3,3.8,IF(Material!$A11=4,30.2,IF(Material!$A11=5,8.8,IF(Material!$A11=6,10.48,IF(Material!$A11=7,84.1,169.1)))))))</f>
        <v>52.8</v>
      </c>
      <c r="I11">
        <f>IF(Material!$A11=1,116.8,IF(Material!$A11=2,52.8,IF(Material!$A11=3,3.8,IF(Material!$A11=4,30.2,IF(Material!$A11=5,8.8,IF(Material!$A11=6,10.48,IF(Material!$A11=7,84.1,169.1)))))))</f>
        <v>52.8</v>
      </c>
      <c r="J11">
        <f>IF(Material!$A11=1,116.8,IF(Material!$A11=2,52.8,IF(Material!$A11=3,3.8,IF(Material!$A11=4,30.2,IF(Material!$A11=5,8.8,IF(Material!$A11=6,10.48,IF(Material!$A11=7,84.1,169.1)))))))</f>
        <v>52.8</v>
      </c>
      <c r="K11">
        <f>IF(Material!$A11=1,116.8,IF(Material!$A11=2,52.8,IF(Material!$A11=3,3.8,IF(Material!$A11=4,30.2,IF(Material!$A11=5,8.8,IF(Material!$A11=6,10.48,IF(Material!$A11=7,84.1,169.1)))))))</f>
        <v>52.8</v>
      </c>
      <c r="L11">
        <f>IF(Material!$A11=1,116.8,IF(Material!$A11=2,52.8,IF(Material!$A11=3,3.8,IF(Material!$A11=4,30.2,IF(Material!$A11=5,8.8,IF(Material!$A11=6,10.48,IF(Material!$A11=7,84.1,169.1)))))))</f>
        <v>52.8</v>
      </c>
      <c r="M11">
        <f>IF(Material!$A11=1,116.8,IF(Material!$A11=2,52.8,IF(Material!$A11=3,3.8,IF(Material!$A11=4,30.2,IF(Material!$A11=5,8.8,IF(Material!$A11=6,10.48,IF(Material!$A11=7,84.1,169.1)))))))</f>
        <v>52.8</v>
      </c>
      <c r="N11">
        <f>IF(Material!$A11=1,116.8,IF(Material!$A11=2,52.8,IF(Material!$A11=3,3.8,IF(Material!$A11=4,30.2,IF(Material!$A11=5,8.8,IF(Material!$A11=6,10.48,IF(Material!$A11=7,84.1,169.1)))))))</f>
        <v>52.8</v>
      </c>
    </row>
    <row r="12" spans="1:14" ht="12.75">
      <c r="A12" t="s">
        <v>32</v>
      </c>
      <c r="B12" t="s">
        <v>73</v>
      </c>
      <c r="C12">
        <f>IF(Material!$A11=1,0.2,IF(Material!$A11=2,1.1,IF(Material!$A11=3,2.8,IF(Material!$A11=4,1.25,IF(Material!$A11=5,1.5,IF(Material!$A11=6,1.15,IF(Material!$A11=7,0.73,0.16)))))))</f>
        <v>1.1</v>
      </c>
      <c r="D12">
        <f>IF(Material!$A11=1,0.2,IF(Material!$A11=2,1.1,IF(Material!$A11=3,2.8,IF(Material!$A11=4,1.25,IF(Material!$A11=5,1.5,IF(Material!$A11=6,1.15,IF(Material!$A11=7,0.73,0.16)))))))</f>
        <v>1.1</v>
      </c>
      <c r="E12">
        <f>IF(Material!$A11=1,0.2,IF(Material!$A11=2,1.1,IF(Material!$A11=3,2.8,IF(Material!$A11=4,1.25,IF(Material!$A11=5,1.5,IF(Material!$A11=6,1.15,IF(Material!$A11=7,0.73,0.16)))))))</f>
        <v>1.1</v>
      </c>
      <c r="F12">
        <f>IF(Material!$A11=1,0.2,IF(Material!$A11=2,1.1,IF(Material!$A11=3,2.8,IF(Material!$A11=4,1.25,IF(Material!$A11=5,1.5,IF(Material!$A11=6,1.15,IF(Material!$A11=7,0.73,0.16)))))))</f>
        <v>1.1</v>
      </c>
      <c r="G12">
        <f>IF(Material!$A11=1,0.2,IF(Material!$A11=2,1.1,IF(Material!$A11=3,2.8,IF(Material!$A11=4,1.25,IF(Material!$A11=5,1.5,IF(Material!$A11=6,1.15,IF(Material!$A11=7,0.73,0.16)))))))</f>
        <v>1.1</v>
      </c>
      <c r="H12">
        <f>IF(Material!$A11=1,0.2,IF(Material!$A11=2,1.1,IF(Material!$A11=3,2.8,IF(Material!$A11=4,1.25,IF(Material!$A11=5,1.5,IF(Material!$A11=6,1.15,IF(Material!$A11=7,0.73,0.16)))))))</f>
        <v>1.1</v>
      </c>
      <c r="I12">
        <f>IF(Material!$A11=1,0.2,IF(Material!$A11=2,1.1,IF(Material!$A11=3,2.8,IF(Material!$A11=4,1.25,IF(Material!$A11=5,1.5,IF(Material!$A11=6,1.15,IF(Material!$A11=7,0.73,0.16)))))))</f>
        <v>1.1</v>
      </c>
      <c r="J12">
        <f>IF(Material!$A11=1,0.2,IF(Material!$A11=2,1.1,IF(Material!$A11=3,2.8,IF(Material!$A11=4,1.25,IF(Material!$A11=5,1.5,IF(Material!$A11=6,1.15,IF(Material!$A11=7,0.73,0.16)))))))</f>
        <v>1.1</v>
      </c>
      <c r="K12">
        <f>IF(Material!$A11=1,0.2,IF(Material!$A11=2,1.1,IF(Material!$A11=3,2.8,IF(Material!$A11=4,1.25,IF(Material!$A11=5,1.5,IF(Material!$A11=6,1.15,IF(Material!$A11=7,0.73,0.16)))))))</f>
        <v>1.1</v>
      </c>
      <c r="L12">
        <f>IF(Material!$A11=1,0.2,IF(Material!$A11=2,1.1,IF(Material!$A11=3,2.8,IF(Material!$A11=4,1.25,IF(Material!$A11=5,1.5,IF(Material!$A11=6,1.15,IF(Material!$A11=7,0.73,0.16)))))))</f>
        <v>1.1</v>
      </c>
      <c r="M12">
        <f>IF(Material!$A11=1,0.2,IF(Material!$A11=2,1.1,IF(Material!$A11=3,2.8,IF(Material!$A11=4,1.25,IF(Material!$A11=5,1.5,IF(Material!$A11=6,1.15,IF(Material!$A11=7,0.73,0.16)))))))</f>
        <v>1.1</v>
      </c>
      <c r="N12">
        <f>IF(Material!$A11=1,0.2,IF(Material!$A11=2,1.1,IF(Material!$A11=3,2.8,IF(Material!$A11=4,1.25,IF(Material!$A11=5,1.5,IF(Material!$A11=6,1.15,IF(Material!$A11=7,0.73,0.16)))))))</f>
        <v>1.1</v>
      </c>
    </row>
    <row r="13" spans="1:14" ht="12.75">
      <c r="A13" s="3" t="s">
        <v>68</v>
      </c>
      <c r="B13" t="s">
        <v>74</v>
      </c>
      <c r="C13">
        <f>3.1416*C3*C4</f>
        <v>28.2744</v>
      </c>
      <c r="D13">
        <f aca="true" t="shared" si="2" ref="D13:N13">3.1416*D3*D4</f>
        <v>28.2744</v>
      </c>
      <c r="E13">
        <f t="shared" si="2"/>
        <v>28.2744</v>
      </c>
      <c r="F13">
        <f t="shared" si="2"/>
        <v>28.2744</v>
      </c>
      <c r="G13">
        <f t="shared" si="2"/>
        <v>28.2744</v>
      </c>
      <c r="H13">
        <f t="shared" si="2"/>
        <v>28.2744</v>
      </c>
      <c r="I13">
        <f t="shared" si="2"/>
        <v>28.2744</v>
      </c>
      <c r="J13">
        <f t="shared" si="2"/>
        <v>28.2744</v>
      </c>
      <c r="K13">
        <f t="shared" si="2"/>
        <v>28.2744</v>
      </c>
      <c r="L13">
        <f t="shared" si="2"/>
        <v>28.2744</v>
      </c>
      <c r="M13">
        <f t="shared" si="2"/>
        <v>28.2744</v>
      </c>
      <c r="N13">
        <f t="shared" si="2"/>
        <v>28.2744</v>
      </c>
    </row>
    <row r="14" spans="1:14" ht="12.75">
      <c r="A14" s="3" t="s">
        <v>47</v>
      </c>
      <c r="B14" t="s">
        <v>69</v>
      </c>
      <c r="C14">
        <f>60*C13/C11</f>
        <v>32.13</v>
      </c>
      <c r="D14">
        <f aca="true" t="shared" si="3" ref="D14:N14">60*D13/D11</f>
        <v>32.13</v>
      </c>
      <c r="E14">
        <f t="shared" si="3"/>
        <v>32.13</v>
      </c>
      <c r="F14">
        <f t="shared" si="3"/>
        <v>32.13</v>
      </c>
      <c r="G14">
        <f t="shared" si="3"/>
        <v>32.13</v>
      </c>
      <c r="H14">
        <f t="shared" si="3"/>
        <v>32.13</v>
      </c>
      <c r="I14">
        <f t="shared" si="3"/>
        <v>32.13</v>
      </c>
      <c r="J14">
        <f t="shared" si="3"/>
        <v>32.13</v>
      </c>
      <c r="K14">
        <f t="shared" si="3"/>
        <v>32.13</v>
      </c>
      <c r="L14">
        <f t="shared" si="3"/>
        <v>32.13</v>
      </c>
      <c r="M14">
        <f t="shared" si="3"/>
        <v>32.13</v>
      </c>
      <c r="N14">
        <f t="shared" si="3"/>
        <v>32.13</v>
      </c>
    </row>
    <row r="15" spans="1:14" ht="12.75">
      <c r="A15" s="3" t="s">
        <v>48</v>
      </c>
      <c r="B15" t="s">
        <v>71</v>
      </c>
      <c r="C15">
        <f>IF(C10&lt;0.4,0.5,IF(C10&lt;10,2.2,IF(C10&lt;30,6.1,IF(C10&lt;60,13.7,25))))</f>
        <v>2.2</v>
      </c>
      <c r="D15">
        <f aca="true" t="shared" si="4" ref="D15:N15">IF(D10&lt;0.4,0.5,IF(D10&lt;10,2.2,IF(D10&lt;30,6.1,IF(D10&lt;60,13.7,25))))</f>
        <v>2.2</v>
      </c>
      <c r="E15">
        <f t="shared" si="4"/>
        <v>2.2</v>
      </c>
      <c r="F15">
        <f t="shared" si="4"/>
        <v>2.2</v>
      </c>
      <c r="G15">
        <f t="shared" si="4"/>
        <v>2.2</v>
      </c>
      <c r="H15">
        <f t="shared" si="4"/>
        <v>2.2</v>
      </c>
      <c r="I15">
        <f t="shared" si="4"/>
        <v>2.2</v>
      </c>
      <c r="J15">
        <f t="shared" si="4"/>
        <v>2.2</v>
      </c>
      <c r="K15">
        <f t="shared" si="4"/>
        <v>2.2</v>
      </c>
      <c r="L15">
        <f t="shared" si="4"/>
        <v>2.2</v>
      </c>
      <c r="M15">
        <f t="shared" si="4"/>
        <v>2.2</v>
      </c>
      <c r="N15">
        <f t="shared" si="4"/>
        <v>2.2</v>
      </c>
    </row>
    <row r="16" spans="1:14" ht="12.75">
      <c r="A16" s="3" t="s">
        <v>49</v>
      </c>
      <c r="B16" t="s">
        <v>71</v>
      </c>
      <c r="C16">
        <f>IF(C10&lt;0.4,16,IF(C10&lt;10,44.6,IF(C10&lt;30,60.2,IF(C10&lt;60,90,305))))</f>
        <v>44.6</v>
      </c>
      <c r="D16">
        <f aca="true" t="shared" si="5" ref="D16:N16">IF(D10&lt;0.4,16,IF(D10&lt;10,44.6,IF(D10&lt;30,60.2,IF(D10&lt;60,90,305))))</f>
        <v>44.6</v>
      </c>
      <c r="E16">
        <f t="shared" si="5"/>
        <v>44.6</v>
      </c>
      <c r="F16">
        <f t="shared" si="5"/>
        <v>44.6</v>
      </c>
      <c r="G16">
        <f t="shared" si="5"/>
        <v>44.6</v>
      </c>
      <c r="H16">
        <f t="shared" si="5"/>
        <v>44.6</v>
      </c>
      <c r="I16">
        <f t="shared" si="5"/>
        <v>44.6</v>
      </c>
      <c r="J16">
        <f t="shared" si="5"/>
        <v>44.6</v>
      </c>
      <c r="K16">
        <f t="shared" si="5"/>
        <v>44.6</v>
      </c>
      <c r="L16">
        <f t="shared" si="5"/>
        <v>44.6</v>
      </c>
      <c r="M16">
        <f t="shared" si="5"/>
        <v>44.6</v>
      </c>
      <c r="N16">
        <f t="shared" si="5"/>
        <v>44.6</v>
      </c>
    </row>
    <row r="17" spans="1:14" ht="12.75">
      <c r="A17" s="3" t="s">
        <v>50</v>
      </c>
      <c r="B17" t="s">
        <v>76</v>
      </c>
      <c r="C17">
        <f>60*C9*C12/C15</f>
        <v>324.2835</v>
      </c>
      <c r="D17">
        <f aca="true" t="shared" si="6" ref="D17:M17">60*D9*D12/D15</f>
        <v>324.2835</v>
      </c>
      <c r="E17">
        <f t="shared" si="6"/>
        <v>324.2835</v>
      </c>
      <c r="F17">
        <f t="shared" si="6"/>
        <v>324.2835</v>
      </c>
      <c r="G17">
        <f t="shared" si="6"/>
        <v>324.2835</v>
      </c>
      <c r="H17">
        <f t="shared" si="6"/>
        <v>324.2835</v>
      </c>
      <c r="I17">
        <f t="shared" si="6"/>
        <v>324.2835</v>
      </c>
      <c r="J17">
        <f t="shared" si="6"/>
        <v>324.2835</v>
      </c>
      <c r="K17">
        <f t="shared" si="6"/>
        <v>324.2835</v>
      </c>
      <c r="L17">
        <f t="shared" si="6"/>
        <v>324.2835</v>
      </c>
      <c r="M17">
        <f t="shared" si="6"/>
        <v>324.2835</v>
      </c>
      <c r="N17">
        <f>60*N9*N12/N15</f>
        <v>324.2835</v>
      </c>
    </row>
    <row r="18" spans="1:14" ht="12.75">
      <c r="A18" s="3" t="s">
        <v>51</v>
      </c>
      <c r="B18" t="s">
        <v>62</v>
      </c>
      <c r="C18" s="3">
        <f>4100*(1+Main!$H14)/Mill!C2</f>
        <v>12300</v>
      </c>
      <c r="D18" s="3">
        <f>4100*(1+Main!$H14)/Mill!D2</f>
        <v>4100</v>
      </c>
      <c r="E18" s="3">
        <f>4100*(1+Main!$H14)/Mill!E2</f>
        <v>2460</v>
      </c>
      <c r="F18" s="3">
        <f>4100*(1+Main!$H14)/Mill!F2</f>
        <v>1757.142857142857</v>
      </c>
      <c r="G18" s="3">
        <f>4100*(1+Main!$H14)/Mill!G2</f>
        <v>1230</v>
      </c>
      <c r="H18" s="3">
        <f>4100*(1+Main!$H14)/Mill!H2</f>
        <v>615</v>
      </c>
      <c r="I18" s="3">
        <f>4100*(1+Main!$H14)/Mill!I2</f>
        <v>246</v>
      </c>
      <c r="J18" s="3">
        <f>4100*(1+Main!$H14)/Mill!J2</f>
        <v>123</v>
      </c>
      <c r="K18" s="3">
        <f>4100*(1+Main!$H14)/Mill!K2</f>
        <v>49.2</v>
      </c>
      <c r="L18" s="3">
        <f>4100*(1+Main!$H14)/Mill!L2</f>
        <v>24.6</v>
      </c>
      <c r="M18" s="3">
        <f>4100*(1+Main!$H14)/Mill!M2</f>
        <v>12.3</v>
      </c>
      <c r="N18" s="3">
        <f>4100*(1+Main!$H14)/Mill!N2</f>
        <v>123</v>
      </c>
    </row>
    <row r="19" spans="1:14" ht="12.75">
      <c r="A19" t="s">
        <v>52</v>
      </c>
      <c r="B19" t="s">
        <v>71</v>
      </c>
      <c r="C19">
        <f>IF(C17&gt;C14,1.05*C17,1.33*C14)</f>
        <v>340.497675</v>
      </c>
      <c r="D19">
        <f aca="true" t="shared" si="7" ref="D19:M19">IF(D17&gt;D14,1.05*D17,1.33*D14)</f>
        <v>340.497675</v>
      </c>
      <c r="E19">
        <f t="shared" si="7"/>
        <v>340.497675</v>
      </c>
      <c r="F19">
        <f t="shared" si="7"/>
        <v>340.497675</v>
      </c>
      <c r="G19">
        <f t="shared" si="7"/>
        <v>340.497675</v>
      </c>
      <c r="H19">
        <f t="shared" si="7"/>
        <v>340.497675</v>
      </c>
      <c r="I19">
        <f t="shared" si="7"/>
        <v>340.497675</v>
      </c>
      <c r="J19">
        <f t="shared" si="7"/>
        <v>340.497675</v>
      </c>
      <c r="K19">
        <f t="shared" si="7"/>
        <v>340.497675</v>
      </c>
      <c r="L19">
        <f t="shared" si="7"/>
        <v>340.497675</v>
      </c>
      <c r="M19">
        <f t="shared" si="7"/>
        <v>340.497675</v>
      </c>
      <c r="N19">
        <f>IF(N17&gt;N14,1.05*N17,1.33*N14)</f>
        <v>340.497675</v>
      </c>
    </row>
    <row r="20" spans="1:14" ht="12.75">
      <c r="A20" t="s">
        <v>52</v>
      </c>
      <c r="B20" t="s">
        <v>77</v>
      </c>
      <c r="C20">
        <f>IF(C4&gt;2,C19+10.8*C6,C19+2.7*C4^2*C6)</f>
        <v>448.497675</v>
      </c>
      <c r="D20">
        <f aca="true" t="shared" si="8" ref="D20:N20">IF(D4&gt;2,D19+10.8*D6,D19+2.7*D4^2*D6)</f>
        <v>448.497675</v>
      </c>
      <c r="E20">
        <f t="shared" si="8"/>
        <v>448.497675</v>
      </c>
      <c r="F20">
        <f t="shared" si="8"/>
        <v>448.497675</v>
      </c>
      <c r="G20">
        <f t="shared" si="8"/>
        <v>448.497675</v>
      </c>
      <c r="H20">
        <f t="shared" si="8"/>
        <v>448.497675</v>
      </c>
      <c r="I20">
        <f t="shared" si="8"/>
        <v>448.497675</v>
      </c>
      <c r="J20">
        <f t="shared" si="8"/>
        <v>448.497675</v>
      </c>
      <c r="K20">
        <f t="shared" si="8"/>
        <v>448.497675</v>
      </c>
      <c r="L20">
        <f t="shared" si="8"/>
        <v>448.497675</v>
      </c>
      <c r="M20">
        <f t="shared" si="8"/>
        <v>448.497675</v>
      </c>
      <c r="N20">
        <f t="shared" si="8"/>
        <v>448.497675</v>
      </c>
    </row>
    <row r="21" spans="1:14" ht="12.75">
      <c r="A21" t="s">
        <v>53</v>
      </c>
      <c r="B21" t="s">
        <v>78</v>
      </c>
      <c r="C21">
        <f>C20+C8+C16+C18</f>
        <v>13043.097675</v>
      </c>
      <c r="D21">
        <f aca="true" t="shared" si="9" ref="D21:N21">D20+D8+D16+D18</f>
        <v>4843.097675</v>
      </c>
      <c r="E21">
        <f t="shared" si="9"/>
        <v>3203.097675</v>
      </c>
      <c r="F21">
        <f t="shared" si="9"/>
        <v>2500.2405321428573</v>
      </c>
      <c r="G21">
        <f t="shared" si="9"/>
        <v>1973.097675</v>
      </c>
      <c r="H21">
        <f t="shared" si="9"/>
        <v>1358.097675</v>
      </c>
      <c r="I21">
        <f t="shared" si="9"/>
        <v>989.0976750000001</v>
      </c>
      <c r="J21">
        <f t="shared" si="9"/>
        <v>866.0976750000001</v>
      </c>
      <c r="K21">
        <f t="shared" si="9"/>
        <v>792.2976750000001</v>
      </c>
      <c r="L21">
        <f t="shared" si="9"/>
        <v>767.6976750000001</v>
      </c>
      <c r="M21">
        <f t="shared" si="9"/>
        <v>755.397675</v>
      </c>
      <c r="N21">
        <f t="shared" si="9"/>
        <v>866.0976750000001</v>
      </c>
    </row>
    <row r="22" spans="1:14" ht="12.75">
      <c r="A22" t="s">
        <v>54</v>
      </c>
      <c r="B22" t="s">
        <v>79</v>
      </c>
      <c r="C22">
        <f>C21*Material!$C24*Material!$C28/3600</f>
        <v>4.71000749375</v>
      </c>
      <c r="D22">
        <f>D21*Material!$C24*Material!$C28/3600</f>
        <v>1.748896382638889</v>
      </c>
      <c r="E22">
        <f>E21*Material!$C24*Material!$C28/3600</f>
        <v>1.1566741604166666</v>
      </c>
      <c r="F22">
        <f>F21*Material!$C24*Material!$C28/3600</f>
        <v>0.902864636607143</v>
      </c>
      <c r="G22">
        <f>G21*Material!$C24*Material!$C28/3600</f>
        <v>0.71250749375</v>
      </c>
      <c r="H22">
        <f>H21*Material!$C24*Material!$C28/3600</f>
        <v>0.49042416041666664</v>
      </c>
      <c r="I22">
        <f>I21*Material!$C24*Material!$C28/3600</f>
        <v>0.3571741604166667</v>
      </c>
      <c r="J22">
        <f>J21*Material!$C24*Material!$C28/3600</f>
        <v>0.31275749375000006</v>
      </c>
      <c r="K22">
        <f>K21*Material!$C24*Material!$C28/3600</f>
        <v>0.28610749375000005</v>
      </c>
      <c r="L22">
        <f>L21*Material!$C24*Material!$C28/3600</f>
        <v>0.2772241604166667</v>
      </c>
      <c r="M22">
        <f>M21*Material!$C24*Material!$C28/3600</f>
        <v>0.27278249375</v>
      </c>
      <c r="N22">
        <f>N21*Material!$C24*Material!$C28/3600</f>
        <v>0.31275749375000006</v>
      </c>
    </row>
    <row r="23" spans="1:14" ht="12.75">
      <c r="A23" t="s">
        <v>55</v>
      </c>
      <c r="B23" t="s">
        <v>80</v>
      </c>
      <c r="C23">
        <f>C22*Main!$H16</f>
        <v>164.85026228125</v>
      </c>
      <c r="D23">
        <f>D22*Main!$H16</f>
        <v>61.21137339236112</v>
      </c>
      <c r="E23">
        <f>E22*Main!$H16</f>
        <v>40.48359561458333</v>
      </c>
      <c r="F23">
        <f>F22*Main!$H16</f>
        <v>31.600262281250004</v>
      </c>
      <c r="G23">
        <f>G22*Main!$H16</f>
        <v>24.93776228125</v>
      </c>
      <c r="H23">
        <f>H22*Main!$H16</f>
        <v>17.16484561458333</v>
      </c>
      <c r="I23">
        <f>I22*Main!$H16</f>
        <v>12.501095614583335</v>
      </c>
      <c r="J23">
        <f>J22*Main!$H16</f>
        <v>10.946512281250001</v>
      </c>
      <c r="K23">
        <f>K22*Main!$H16</f>
        <v>10.013762281250003</v>
      </c>
      <c r="L23">
        <f>L22*Main!$H16</f>
        <v>9.702845614583335</v>
      </c>
      <c r="M23">
        <f>M22*Main!$H16</f>
        <v>9.547387281250002</v>
      </c>
      <c r="N23">
        <f>N22*Main!$H16</f>
        <v>10.946512281250001</v>
      </c>
    </row>
    <row r="24" spans="1:14" ht="12.75">
      <c r="A24" t="s">
        <v>56</v>
      </c>
      <c r="B24" t="s">
        <v>81</v>
      </c>
      <c r="C24">
        <f>C10*C7</f>
        <v>1.4395643999999999</v>
      </c>
      <c r="D24">
        <f aca="true" t="shared" si="10" ref="D24:N24">D10*D7</f>
        <v>1.4395643999999999</v>
      </c>
      <c r="E24">
        <f t="shared" si="10"/>
        <v>1.4395643999999999</v>
      </c>
      <c r="F24">
        <f t="shared" si="10"/>
        <v>1.4395643999999999</v>
      </c>
      <c r="G24">
        <f t="shared" si="10"/>
        <v>1.4395643999999999</v>
      </c>
      <c r="H24">
        <f t="shared" si="10"/>
        <v>1.4395643999999999</v>
      </c>
      <c r="I24">
        <f t="shared" si="10"/>
        <v>1.4395643999999999</v>
      </c>
      <c r="J24">
        <f t="shared" si="10"/>
        <v>1.4395643999999999</v>
      </c>
      <c r="K24">
        <f t="shared" si="10"/>
        <v>1.4395643999999999</v>
      </c>
      <c r="L24">
        <f t="shared" si="10"/>
        <v>1.4395643999999999</v>
      </c>
      <c r="M24">
        <f t="shared" si="10"/>
        <v>1.4395643999999999</v>
      </c>
      <c r="N24">
        <f t="shared" si="10"/>
        <v>1.4395643999999999</v>
      </c>
    </row>
    <row r="25" spans="1:14" ht="12.75">
      <c r="A25" t="s">
        <v>57</v>
      </c>
      <c r="B25" t="s">
        <v>82</v>
      </c>
      <c r="C25">
        <f>C10*Material!$C10</f>
        <v>1.4845507875</v>
      </c>
      <c r="D25">
        <f>D10*Material!$C10</f>
        <v>1.4845507875</v>
      </c>
      <c r="E25">
        <f>E10*Material!$C10</f>
        <v>1.4845507875</v>
      </c>
      <c r="F25">
        <f>F10*Material!$C10</f>
        <v>1.4845507875</v>
      </c>
      <c r="G25">
        <f>G10*Material!$C10</f>
        <v>1.4845507875</v>
      </c>
      <c r="H25">
        <f>H10*Material!$C10</f>
        <v>1.4845507875</v>
      </c>
      <c r="I25">
        <f>I10*Material!$C10</f>
        <v>1.4845507875</v>
      </c>
      <c r="J25">
        <f>J10*Material!$C10</f>
        <v>1.4845507875</v>
      </c>
      <c r="K25">
        <f>K10*Material!$C10</f>
        <v>1.4845507875</v>
      </c>
      <c r="L25">
        <f>L10*Material!$C10</f>
        <v>1.4845507875</v>
      </c>
      <c r="M25">
        <f>M10*Material!$C10</f>
        <v>1.4845507875</v>
      </c>
      <c r="N25">
        <f>N10*Material!$C10</f>
        <v>1.4845507875</v>
      </c>
    </row>
    <row r="26" spans="1:14" ht="12.75">
      <c r="A26" s="5" t="s">
        <v>58</v>
      </c>
      <c r="B26" s="5" t="s">
        <v>83</v>
      </c>
      <c r="C26" s="5">
        <f>C23+C25</f>
        <v>166.33481306875</v>
      </c>
      <c r="D26" s="5">
        <f aca="true" t="shared" si="11" ref="D26:N26">D23+D25</f>
        <v>62.695924179861116</v>
      </c>
      <c r="E26" s="5">
        <f t="shared" si="11"/>
        <v>41.96814640208333</v>
      </c>
      <c r="F26" s="5">
        <f t="shared" si="11"/>
        <v>33.08481306875</v>
      </c>
      <c r="G26" s="5">
        <f t="shared" si="11"/>
        <v>26.42231306875</v>
      </c>
      <c r="H26" s="5">
        <f t="shared" si="11"/>
        <v>18.649396402083333</v>
      </c>
      <c r="I26" s="5">
        <f t="shared" si="11"/>
        <v>13.985646402083335</v>
      </c>
      <c r="J26" s="5">
        <f t="shared" si="11"/>
        <v>12.431063068750001</v>
      </c>
      <c r="K26" s="5">
        <f t="shared" si="11"/>
        <v>11.498313068750003</v>
      </c>
      <c r="L26" s="5">
        <f t="shared" si="11"/>
        <v>11.187396402083335</v>
      </c>
      <c r="M26" s="5">
        <f t="shared" si="11"/>
        <v>11.031938068750001</v>
      </c>
      <c r="N26" s="5">
        <f t="shared" si="11"/>
        <v>12.431063068750001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32"/>
  <sheetViews>
    <sheetView workbookViewId="0" topLeftCell="A1">
      <selection activeCell="L35" sqref="L35"/>
    </sheetView>
  </sheetViews>
  <sheetFormatPr defaultColWidth="9.140625" defaultRowHeight="12.75"/>
  <cols>
    <col min="1" max="1" width="22.7109375" style="0" customWidth="1"/>
    <col min="3" max="3" width="6.140625" style="0" customWidth="1"/>
    <col min="4" max="4" width="5.140625" style="0" customWidth="1"/>
    <col min="5" max="5" width="6.421875" style="0" customWidth="1"/>
    <col min="6" max="6" width="5.57421875" style="0" customWidth="1"/>
    <col min="7" max="7" width="6.00390625" style="0" customWidth="1"/>
    <col min="8" max="8" width="7.00390625" style="0" customWidth="1"/>
    <col min="9" max="9" width="6.28125" style="0" customWidth="1"/>
    <col min="10" max="10" width="7.421875" style="0" customWidth="1"/>
    <col min="11" max="11" width="5.00390625" style="0" customWidth="1"/>
    <col min="12" max="12" width="7.57421875" style="0" customWidth="1"/>
    <col min="13" max="13" width="6.57421875" style="0" customWidth="1"/>
  </cols>
  <sheetData>
    <row r="1" ht="12.75">
      <c r="C1" t="s">
        <v>44</v>
      </c>
    </row>
    <row r="2" spans="1:3" ht="12.75">
      <c r="A2" s="1" t="s">
        <v>0</v>
      </c>
      <c r="C2">
        <f>IF(A16=1,4.5,IF(A16=2,2.5,6))</f>
        <v>2.5</v>
      </c>
    </row>
    <row r="3" spans="1:3" ht="12.75">
      <c r="A3" s="1" t="s">
        <v>1</v>
      </c>
      <c r="C3">
        <f>IF(A16=1,0.3,IF(A16=2,0.33,0.45))</f>
        <v>0.33</v>
      </c>
    </row>
    <row r="4" spans="1:3" ht="12.75">
      <c r="A4" s="1" t="s">
        <v>2</v>
      </c>
      <c r="C4">
        <f>IF(A16=1,0.55,IF(A16=2,1.12,1))</f>
        <v>1.12</v>
      </c>
    </row>
    <row r="5" spans="1:3" ht="12.75">
      <c r="A5" s="1" t="s">
        <v>3</v>
      </c>
      <c r="C5">
        <f>IF(A16=1,2.6,IF(A16=2,3.5,3.5))</f>
        <v>3.5</v>
      </c>
    </row>
    <row r="6" spans="1:3" ht="12.75">
      <c r="A6" s="1" t="s">
        <v>4</v>
      </c>
      <c r="C6">
        <f>IF(A16=1,2,IF(A16=2,1.5,2.5))</f>
        <v>1.5</v>
      </c>
    </row>
    <row r="7" spans="1:3" ht="12.75">
      <c r="A7" s="1" t="s">
        <v>5</v>
      </c>
      <c r="C7">
        <f>IF(A16=1,12.5,IF(A16=2,19,22))</f>
        <v>19</v>
      </c>
    </row>
    <row r="8" spans="1:3" ht="12.75">
      <c r="A8" s="1" t="s">
        <v>6</v>
      </c>
      <c r="C8">
        <f>IF(A16=1,3.12,IF(A16=2,4,5))</f>
        <v>4</v>
      </c>
    </row>
    <row r="9" spans="1:3" ht="12.75">
      <c r="A9" s="1" t="s">
        <v>7</v>
      </c>
      <c r="C9">
        <f>IF(A16=1,6.75,IF(A16=2,5,5))</f>
        <v>5</v>
      </c>
    </row>
    <row r="10" spans="2:3" ht="12.75">
      <c r="B10" t="s">
        <v>45</v>
      </c>
      <c r="C10">
        <f>IF(A11=1,C2,IF(A11=2,C3,IF(A11=3,C4,IF(A11=4,C5,IF(A11=5,C6,IF(A11=6,C7,IF(A11=7,C8,C9)))))))</f>
        <v>0.33</v>
      </c>
    </row>
    <row r="11" spans="1:5" ht="12.75">
      <c r="A11">
        <v>2</v>
      </c>
      <c r="B11" t="s">
        <v>12</v>
      </c>
      <c r="C11" t="s">
        <v>42</v>
      </c>
      <c r="D11">
        <f>IF(A11=1,0.1,IF(A11=2,0.283,IF(A11=3,0.31,IF(A11=4,0.283,IF(A11=5,0.31,IF(A11=6,0.16,IF(A11=7,0.32,0.066)))))))</f>
        <v>0.283</v>
      </c>
      <c r="E11" t="s">
        <v>43</v>
      </c>
    </row>
    <row r="13" ht="12.75">
      <c r="A13" s="1" t="s">
        <v>8</v>
      </c>
    </row>
    <row r="14" ht="12.75">
      <c r="A14" s="1" t="s">
        <v>9</v>
      </c>
    </row>
    <row r="15" ht="12.75">
      <c r="A15" s="1" t="s">
        <v>10</v>
      </c>
    </row>
    <row r="16" spans="1:2" ht="12.75">
      <c r="A16">
        <v>2</v>
      </c>
      <c r="B16" t="s">
        <v>11</v>
      </c>
    </row>
    <row r="18" ht="12.75">
      <c r="A18" s="1" t="s">
        <v>13</v>
      </c>
    </row>
    <row r="19" ht="12.75">
      <c r="A19" s="1" t="s">
        <v>14</v>
      </c>
    </row>
    <row r="20" spans="1:2" ht="12.75">
      <c r="A20">
        <v>1</v>
      </c>
      <c r="B20" t="s">
        <v>15</v>
      </c>
    </row>
    <row r="21" ht="12.75">
      <c r="A21" s="1" t="s">
        <v>20</v>
      </c>
    </row>
    <row r="22" ht="12.75">
      <c r="A22" s="1" t="s">
        <v>21</v>
      </c>
    </row>
    <row r="23" ht="12.75">
      <c r="A23" s="1" t="s">
        <v>22</v>
      </c>
    </row>
    <row r="24" spans="1:4" ht="12.75">
      <c r="A24">
        <v>3</v>
      </c>
      <c r="B24" t="s">
        <v>23</v>
      </c>
      <c r="C24">
        <f>IF(A24=1,0.8,IF(A24=2,1,1.3))</f>
        <v>1.3</v>
      </c>
      <c r="D24" t="s">
        <v>24</v>
      </c>
    </row>
    <row r="25" ht="12.75">
      <c r="A25" s="1" t="s">
        <v>25</v>
      </c>
    </row>
    <row r="26" ht="12.75">
      <c r="A26" s="1" t="s">
        <v>21</v>
      </c>
    </row>
    <row r="27" ht="12.75">
      <c r="A27" s="1" t="s">
        <v>26</v>
      </c>
    </row>
    <row r="28" spans="1:4" ht="12.75">
      <c r="A28">
        <v>2</v>
      </c>
      <c r="B28" t="s">
        <v>61</v>
      </c>
      <c r="C28">
        <f>IF(A28=1,0.7,IF(A28=2,1,1.4))</f>
        <v>1</v>
      </c>
      <c r="D28" t="s">
        <v>27</v>
      </c>
    </row>
    <row r="30" ht="12.75">
      <c r="B30" t="s">
        <v>92</v>
      </c>
    </row>
    <row r="31" spans="2:13" ht="12.75">
      <c r="B31" s="2">
        <v>1</v>
      </c>
      <c r="C31">
        <v>3</v>
      </c>
      <c r="D31">
        <v>5</v>
      </c>
      <c r="E31">
        <v>7</v>
      </c>
      <c r="F31">
        <v>10</v>
      </c>
      <c r="G31">
        <v>20</v>
      </c>
      <c r="H31">
        <v>50</v>
      </c>
      <c r="I31">
        <v>100</v>
      </c>
      <c r="J31">
        <v>250</v>
      </c>
      <c r="K31">
        <v>500</v>
      </c>
      <c r="L31">
        <v>1000</v>
      </c>
      <c r="M31">
        <f>Main!H15</f>
        <v>100</v>
      </c>
    </row>
    <row r="32" spans="2:13" ht="12.75">
      <c r="B32">
        <f>IF($A$20=2,Mill!C$23,Lathe!C26)</f>
        <v>166.33481306875</v>
      </c>
      <c r="C32">
        <f>IF($A$20=2,Mill!D$23,Lathe!D26)</f>
        <v>62.695924179861116</v>
      </c>
      <c r="D32">
        <f>IF($A$20=2,Mill!E$23,Lathe!E26)</f>
        <v>41.96814640208333</v>
      </c>
      <c r="E32">
        <f>IF($A$20=2,Mill!F$23,Lathe!F26)</f>
        <v>33.08481306875</v>
      </c>
      <c r="F32">
        <f>IF($A$20=2,Mill!G$23,Lathe!G26)</f>
        <v>26.42231306875</v>
      </c>
      <c r="G32">
        <f>IF($A$20=2,Mill!H$23,Lathe!H26)</f>
        <v>18.649396402083333</v>
      </c>
      <c r="H32">
        <f>IF($A$20=2,Mill!I$23,Lathe!I26)</f>
        <v>13.985646402083335</v>
      </c>
      <c r="I32">
        <f>IF($A$20=2,Mill!J$23,Lathe!J26)</f>
        <v>12.431063068750001</v>
      </c>
      <c r="J32">
        <f>IF($A$20=2,Mill!K$23,Lathe!K26)</f>
        <v>11.498313068750003</v>
      </c>
      <c r="K32">
        <f>IF($A$20=2,Mill!L$23,Lathe!L26)</f>
        <v>11.187396402083335</v>
      </c>
      <c r="L32">
        <f>IF($A$20=2,Mill!M$23,Lathe!M26)</f>
        <v>11.031938068750001</v>
      </c>
      <c r="M32">
        <f>IF($A$20=2,Mill!N$23,Lathe!N26)</f>
        <v>12.431063068750001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Robust Decisions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Ullman</dc:creator>
  <cp:keywords/>
  <dc:description/>
  <cp:lastModifiedBy>David Ullman</cp:lastModifiedBy>
  <cp:lastPrinted>2007-08-16T18:23:44Z</cp:lastPrinted>
  <dcterms:created xsi:type="dcterms:W3CDTF">2007-06-26T00:48:34Z</dcterms:created>
  <dcterms:modified xsi:type="dcterms:W3CDTF">2008-12-18T17:13:19Z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