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60" yWindow="2445" windowWidth="8895" windowHeight="3780" activeTab="1"/>
  </bookViews>
  <sheets>
    <sheet name="Attribute Sample Size" sheetId="1" r:id="rId1"/>
    <sheet name="PPS Sample Size" sheetId="2" r:id="rId2"/>
    <sheet name="PPS Evaluation" sheetId="3" r:id="rId3"/>
    <sheet name="Tables" sheetId="4" r:id="rId4"/>
  </sheets>
  <definedNames>
    <definedName name="\P">'PPS Evaluation'!$B$117</definedName>
    <definedName name="\S">'PPS Evaluation'!$B$113</definedName>
    <definedName name="\U">'PPS Evaluation'!$B$115</definedName>
    <definedName name="_1">'Tables'!$D$10</definedName>
    <definedName name="_10">'Tables'!$F$10</definedName>
    <definedName name="_15">'Tables'!$G$10</definedName>
    <definedName name="_20">'Tables'!$H$10</definedName>
    <definedName name="_25">'Tables'!$I$10</definedName>
    <definedName name="_30">'Tables'!$J$10</definedName>
    <definedName name="_5">'Tables'!$E$10</definedName>
    <definedName name="_Order1" hidden="1">255</definedName>
    <definedName name="all">'PPS Sample Size'!$A$1:$J$52</definedName>
    <definedName name="ATTRIBUTE">'Attribute Sample Size'!$A$2:$N$54</definedName>
    <definedName name="COL7">'PPS Evaluation'!$C$39</definedName>
    <definedName name="expanstable">'Tables'!$D$37:$K$38</definedName>
    <definedName name="INTERVAL">'PPS Evaluation'!$G$13</definedName>
    <definedName name="MACROS">'PPS Evaluation'!$A$111</definedName>
    <definedName name="NA">'Tables'!$D$10:$J$10</definedName>
    <definedName name="NBR">'PPS Evaluation'!$B$39</definedName>
    <definedName name="PPSEVAL">'PPS Evaluation'!$A$7:$J$63</definedName>
    <definedName name="PPSIZE">'PPS Sample Size'!$A$4:$I$48</definedName>
    <definedName name="_xlnm.Print_Area" localSheetId="0">'Attribute Sample Size'!$A$2:$N$54</definedName>
    <definedName name="_xlnm.Print_Area" localSheetId="2">'PPS Evaluation'!$A$6:$J$63</definedName>
    <definedName name="_xlnm.Print_Area" localSheetId="1">'PPS Sample Size'!$A$1:$J$52</definedName>
    <definedName name="PRINTMENU">'PPS Evaluation'!$B$119</definedName>
    <definedName name="PROJMISS">'PPS Evaluation'!$B$39:$C$47</definedName>
    <definedName name="relytable">'Tables'!$D$9:$K$10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<sst xmlns="http://schemas.openxmlformats.org/spreadsheetml/2006/main" count="598" uniqueCount="335">
  <si>
    <t>KEYSTONE COMPUTERS &amp; NETWORKS, INC.</t>
  </si>
  <si>
    <t>Ref No.:</t>
  </si>
  <si>
    <t>IC-15</t>
  </si>
  <si>
    <t>Attributes Sampling Summary - Sales and Collections Cycle</t>
  </si>
  <si>
    <t>Prep'r:</t>
  </si>
  <si>
    <t>WL</t>
  </si>
  <si>
    <t>December 31, 19X5</t>
  </si>
  <si>
    <t>Date:</t>
  </si>
  <si>
    <t>11/14/X5</t>
  </si>
  <si>
    <t>Objectives of test:</t>
  </si>
  <si>
    <t>(1) To test the operating effectiveness of the procedures of reconciling control totals of computer</t>
  </si>
  <si>
    <t>run for updating accounts receivable;  (2) To test the operating effectiveness of the procedures</t>
  </si>
  <si>
    <t>for review and follow-up on the exception reports from the computer run for updating accounts</t>
  </si>
  <si>
    <t>receivable; (3) to test the operating effectiveness of the procedures for reconciling the computer</t>
  </si>
  <si>
    <t>summary of cash collections and cash sales to the deposit slips and prelisting of cash receipts.</t>
  </si>
  <si>
    <t>Population</t>
  </si>
  <si>
    <t>Test</t>
  </si>
  <si>
    <t>Size</t>
  </si>
  <si>
    <t>1.</t>
  </si>
  <si>
    <t>Control total reports</t>
  </si>
  <si>
    <t>2.</t>
  </si>
  <si>
    <t>Exception reports</t>
  </si>
  <si>
    <t>3.</t>
  </si>
  <si>
    <t>Computer summaries of collections and cash sales</t>
  </si>
  <si>
    <t>Sampling unit:</t>
  </si>
  <si>
    <t>Individual reports</t>
  </si>
  <si>
    <t xml:space="preserve">Random selection procedure: </t>
  </si>
  <si>
    <t>Random number table</t>
  </si>
  <si>
    <t>Acceptable risk of assessing control risk too low:</t>
  </si>
  <si>
    <t>%</t>
  </si>
  <si>
    <t xml:space="preserve">  Note: Tables support 5% and 10% only</t>
  </si>
  <si>
    <t>Planning  Parameters</t>
  </si>
  <si>
    <t>Sample results</t>
  </si>
  <si>
    <t xml:space="preserve"> Note:</t>
  </si>
  <si>
    <t>Tolerable</t>
  </si>
  <si>
    <t>Expected</t>
  </si>
  <si>
    <t>Sample</t>
  </si>
  <si>
    <t>Number</t>
  </si>
  <si>
    <t>Achieved</t>
  </si>
  <si>
    <t>Added</t>
  </si>
  <si>
    <t xml:space="preserve"> Tolerable Deviation Rate can be</t>
  </si>
  <si>
    <t xml:space="preserve">Deviation </t>
  </si>
  <si>
    <t>Deviation</t>
  </si>
  <si>
    <t>of</t>
  </si>
  <si>
    <t>Maximum</t>
  </si>
  <si>
    <t>Assessed</t>
  </si>
  <si>
    <t>Items to</t>
  </si>
  <si>
    <t xml:space="preserve"> 2 thru 10, 15 and 20% only;</t>
  </si>
  <si>
    <t>Rate</t>
  </si>
  <si>
    <t>Deviat'ns</t>
  </si>
  <si>
    <t>Tol. Dev.</t>
  </si>
  <si>
    <t>Level of</t>
  </si>
  <si>
    <t>achieve</t>
  </si>
  <si>
    <t xml:space="preserve"> Expected Dev. Rate: 0 thru 7 only</t>
  </si>
  <si>
    <t>[2-10,15&amp;20]</t>
  </si>
  <si>
    <t>[0 thru 7]</t>
  </si>
  <si>
    <t xml:space="preserve"> * = too large</t>
  </si>
  <si>
    <t>Contrl Risk</t>
  </si>
  <si>
    <t>Plan CR</t>
  </si>
  <si>
    <t>1</t>
  </si>
  <si>
    <t>Existence of a reconciliation of</t>
  </si>
  <si>
    <t>control totals initialed by the</t>
  </si>
  <si>
    <t>accounting manager.</t>
  </si>
  <si>
    <t>2</t>
  </si>
  <si>
    <t>Indication of disposition of excep-</t>
  </si>
  <si>
    <t>tions initialed by the accounting</t>
  </si>
  <si>
    <t>manager.</t>
  </si>
  <si>
    <t>3</t>
  </si>
  <si>
    <t>cash collections and cash sales</t>
  </si>
  <si>
    <t>to prelisting and deposit slips</t>
  </si>
  <si>
    <t>initialed by the accounting clerk.</t>
  </si>
  <si>
    <t>Tests</t>
  </si>
  <si>
    <t>Assesed level of control risk:</t>
  </si>
  <si>
    <t>Conclusion:</t>
  </si>
  <si>
    <t>Existence</t>
  </si>
  <si>
    <t>Nos. 1,3</t>
  </si>
  <si>
    <t>Rights</t>
  </si>
  <si>
    <t>Completeness</t>
  </si>
  <si>
    <t>Valuation</t>
  </si>
  <si>
    <t>No. 2</t>
  </si>
  <si>
    <t>tables</t>
  </si>
  <si>
    <t>Tolerable Rate ranges</t>
  </si>
  <si>
    <t>Planned Assessed</t>
  </si>
  <si>
    <t>Per Proc.</t>
  </si>
  <si>
    <t xml:space="preserve">Modified to </t>
  </si>
  <si>
    <t>Level of Control Risk</t>
  </si>
  <si>
    <t>Study</t>
  </si>
  <si>
    <t>avoid overlap</t>
  </si>
  <si>
    <t>Low</t>
  </si>
  <si>
    <t>2 - 7%</t>
  </si>
  <si>
    <t>Moderate</t>
  </si>
  <si>
    <t>6 - 12%</t>
  </si>
  <si>
    <t>8 - 10%</t>
  </si>
  <si>
    <t>Slightly Below Maximum</t>
  </si>
  <si>
    <t>11 - 20%</t>
  </si>
  <si>
    <t>Omit test</t>
  </si>
  <si>
    <t>Yesno</t>
  </si>
  <si>
    <t>Tolrate</t>
  </si>
  <si>
    <t>Planned assessed</t>
  </si>
  <si>
    <t>Is there substantial other</t>
  </si>
  <si>
    <t>Table supplies Tolerable Deviation</t>
  </si>
  <si>
    <t>level of control risk</t>
  </si>
  <si>
    <t>evidence?</t>
  </si>
  <si>
    <t>Rates for Attribute Table lookup</t>
  </si>
  <si>
    <t>NO</t>
  </si>
  <si>
    <t>YES</t>
  </si>
  <si>
    <t>Tolratetable:</t>
  </si>
  <si>
    <t xml:space="preserve">"NO" </t>
  </si>
  <si>
    <t>returns low end of range</t>
  </si>
  <si>
    <t>LOW</t>
  </si>
  <si>
    <t>"YES" returns high end of range</t>
  </si>
  <si>
    <t>MOD</t>
  </si>
  <si>
    <t>SBM</t>
  </si>
  <si>
    <t>("MOD" and "YES" might be 12%, but</t>
  </si>
  <si>
    <t>Attribute tables do not accommodate</t>
  </si>
  <si>
    <t>11% through 19% except for 15%)</t>
  </si>
  <si>
    <t>Risktable</t>
  </si>
  <si>
    <t>Projected</t>
  </si>
  <si>
    <t>Level of control risk</t>
  </si>
  <si>
    <t>Deviation Rate</t>
  </si>
  <si>
    <t>suggested by Projected</t>
  </si>
  <si>
    <t>(upper limit)</t>
  </si>
  <si>
    <t>Table used in Evaluation</t>
  </si>
  <si>
    <t xml:space="preserve">of Test of Controls </t>
  </si>
  <si>
    <t>to 7%</t>
  </si>
  <si>
    <t>to 12%</t>
  </si>
  <si>
    <t>to19%</t>
  </si>
  <si>
    <t>or over</t>
  </si>
  <si>
    <t>MAX</t>
  </si>
  <si>
    <t>Shortcut</t>
  </si>
  <si>
    <t>Assessment of Control Risk</t>
  </si>
  <si>
    <t>Deviations</t>
  </si>
  <si>
    <t>Slightly Below</t>
  </si>
  <si>
    <t>(Expected or Actual)</t>
  </si>
  <si>
    <t xml:space="preserve">  Riskfactors</t>
  </si>
  <si>
    <t xml:space="preserve"> &lt;-Formula</t>
  </si>
  <si>
    <t>Risk that other substantive</t>
  </si>
  <si>
    <t>procedures will fail to</t>
  </si>
  <si>
    <t>detect a material miss-</t>
  </si>
  <si>
    <t>statement:</t>
  </si>
  <si>
    <t xml:space="preserve">   Assessment of combined</t>
  </si>
  <si>
    <t>Risk factors</t>
  </si>
  <si>
    <t xml:space="preserve">    Inherent and Control Risk</t>
  </si>
  <si>
    <t>Slightly Below Max.</t>
  </si>
  <si>
    <t>TABLE5%</t>
  </si>
  <si>
    <t>SAMPLE SIZE for a</t>
  </si>
  <si>
    <t>Tab to 5% sizetable</t>
  </si>
  <si>
    <t xml:space="preserve">  5% Risk of Assessing Control Risk Too Low</t>
  </si>
  <si>
    <t>Rate (%):</t>
  </si>
  <si>
    <t>Tolerable deviation rate (%)</t>
  </si>
  <si>
    <t xml:space="preserve">toltable5: </t>
  </si>
  <si>
    <t>4</t>
  </si>
  <si>
    <t>5</t>
  </si>
  <si>
    <t>6</t>
  </si>
  <si>
    <t>7</t>
  </si>
  <si>
    <t>8</t>
  </si>
  <si>
    <t>9</t>
  </si>
  <si>
    <t>10</t>
  </si>
  <si>
    <t>15</t>
  </si>
  <si>
    <t>20</t>
  </si>
  <si>
    <t xml:space="preserve">table5: </t>
  </si>
  <si>
    <t>0.00</t>
  </si>
  <si>
    <t>0.25</t>
  </si>
  <si>
    <t>0.50</t>
  </si>
  <si>
    <t xml:space="preserve">      *</t>
  </si>
  <si>
    <t>0.75</t>
  </si>
  <si>
    <t>1.00</t>
  </si>
  <si>
    <t>1.25</t>
  </si>
  <si>
    <t>1.50</t>
  </si>
  <si>
    <t>1.75</t>
  </si>
  <si>
    <t>2.00</t>
  </si>
  <si>
    <t>2.25</t>
  </si>
  <si>
    <t>2.50</t>
  </si>
  <si>
    <t>2.75</t>
  </si>
  <si>
    <t>3.00</t>
  </si>
  <si>
    <t>3.25</t>
  </si>
  <si>
    <t>3.50</t>
  </si>
  <si>
    <t>3.75</t>
  </si>
  <si>
    <t>4.00</t>
  </si>
  <si>
    <t>5.00</t>
  </si>
  <si>
    <t>6.00</t>
  </si>
  <si>
    <t>7.00</t>
  </si>
  <si>
    <t>TABLE10%</t>
  </si>
  <si>
    <t xml:space="preserve">  10% Risk of Assessing Control Risk Too Low</t>
  </si>
  <si>
    <t xml:space="preserve"> must be "5" or "10"</t>
  </si>
  <si>
    <t>Rate (%)</t>
  </si>
  <si>
    <t xml:space="preserve">toltable10: </t>
  </si>
  <si>
    <t xml:space="preserve">table10: </t>
  </si>
  <si>
    <t>col.</t>
  </si>
  <si>
    <t xml:space="preserve"> from Accounting Review (Oct 1976) pp. 907-912</t>
  </si>
  <si>
    <t xml:space="preserve">     Risk of assessing control</t>
  </si>
  <si>
    <t>Number of</t>
  </si>
  <si>
    <t xml:space="preserve">     risk too low (%)</t>
  </si>
  <si>
    <t xml:space="preserve"> deviations</t>
  </si>
  <si>
    <t>Col. No.</t>
  </si>
  <si>
    <t xml:space="preserve"> evaltable:</t>
  </si>
  <si>
    <t>Interim calculations:</t>
  </si>
  <si>
    <t>INTERIM</t>
  </si>
  <si>
    <t>Test 1</t>
  </si>
  <si>
    <t>Test 2</t>
  </si>
  <si>
    <t xml:space="preserve"> </t>
  </si>
  <si>
    <t>Test 3</t>
  </si>
  <si>
    <t>End of tables</t>
  </si>
  <si>
    <t>B9</t>
  </si>
  <si>
    <t>Prep'd by:</t>
  </si>
  <si>
    <t>1/7/X6</t>
  </si>
  <si>
    <t>Audit Sample Plan for Confirmation of Accounts Receivable</t>
  </si>
  <si>
    <t>Objective:</t>
  </si>
  <si>
    <t xml:space="preserve">Establish the existence, occurrence, and gross valuation of accounts  </t>
  </si>
  <si>
    <t xml:space="preserve">  receivable and sales by confirmation</t>
  </si>
  <si>
    <t>Population:</t>
  </si>
  <si>
    <t>433 accounts receivable at 12/31/X5, with a book value of:</t>
  </si>
  <si>
    <t>Definition of Misstatement:</t>
  </si>
  <si>
    <t>Any amount that is deemed not to be a valid account receivable</t>
  </si>
  <si>
    <t>Sampling Technique:</t>
  </si>
  <si>
    <t>Probability-proportional-to-size</t>
  </si>
  <si>
    <t>Sampling Parameters:</t>
  </si>
  <si>
    <t>Tolerable Misstatement:</t>
  </si>
  <si>
    <t>Total materiality as indicated in the audit plan</t>
  </si>
  <si>
    <t>Less: Estimate of undetected misstatement (e.g. 50% of overall materiality)</t>
  </si>
  <si>
    <t>Tolerable misstatement for this test:</t>
  </si>
  <si>
    <t>Risk of incorrect acceptance:</t>
  </si>
  <si>
    <t>(a)  Assessed level of control risk:</t>
  </si>
  <si>
    <t>(b)  Effectiveness of other substantive (analytical) procedures:</t>
  </si>
  <si>
    <t>(c)  Risk of incorrect acceptance based on (a) and (b) above:</t>
  </si>
  <si>
    <t xml:space="preserve">             Enter 1, 5, 10, 15, 20, 25, or 30, only</t>
  </si>
  <si>
    <t>Expected misstatements:</t>
  </si>
  <si>
    <t>Based upon prior-year audits, the expected misstatement</t>
  </si>
  <si>
    <t>for the account is:</t>
  </si>
  <si>
    <t>Calculation of Sample Size and Sampling Interval</t>
  </si>
  <si>
    <t>Sample size =</t>
  </si>
  <si>
    <t>Book value of population X Reliability factor</t>
  </si>
  <si>
    <t>Tolerable misstatement - (Expected misstatement X Expansion factor)</t>
  </si>
  <si>
    <t xml:space="preserve">     Reliability Factor    (see "Relytable")</t>
  </si>
  <si>
    <t xml:space="preserve">     Expansion Factor   (see "Expanstable" )</t>
  </si>
  <si>
    <t>Sampling interval  =</t>
  </si>
  <si>
    <t xml:space="preserve">Book value of population </t>
  </si>
  <si>
    <t>(rounded)</t>
  </si>
  <si>
    <t>Sample size</t>
  </si>
  <si>
    <t>Instructions:</t>
  </si>
  <si>
    <t>Enter in columns 1 and 2 respectively the Book and Audit amounts for each misstatement.</t>
  </si>
  <si>
    <t>Then press Ctrt-S to sort the misstatements into Projected Misstatement order. (To Undo</t>
  </si>
  <si>
    <t>the sort, press Ctrl-U.)</t>
  </si>
  <si>
    <t>B10</t>
  </si>
  <si>
    <t>Evaluation of PPS Sampling Results</t>
  </si>
  <si>
    <t>1/20/X6</t>
  </si>
  <si>
    <t xml:space="preserve">      Acceptable risk of incorrect acceptance</t>
  </si>
  <si>
    <t>per W/P Ref.</t>
  </si>
  <si>
    <t xml:space="preserve">      Sampling interval</t>
  </si>
  <si>
    <t>Projected Misstatement:</t>
  </si>
  <si>
    <t>Book</t>
  </si>
  <si>
    <t>Audit</t>
  </si>
  <si>
    <t>Misstatement</t>
  </si>
  <si>
    <t>Tainting</t>
  </si>
  <si>
    <t xml:space="preserve">Sampling </t>
  </si>
  <si>
    <t>Amount</t>
  </si>
  <si>
    <t>Interval</t>
  </si>
  <si>
    <t xml:space="preserve">  (1)</t>
  </si>
  <si>
    <t xml:space="preserve">  (2)</t>
  </si>
  <si>
    <t xml:space="preserve">  (3)</t>
  </si>
  <si>
    <t xml:space="preserve"> (4)</t>
  </si>
  <si>
    <t xml:space="preserve"> (5)</t>
  </si>
  <si>
    <t>(6)</t>
  </si>
  <si>
    <t>No.</t>
  </si>
  <si>
    <t>col. (3) / (1)</t>
  </si>
  <si>
    <t>Incremental allowance:</t>
  </si>
  <si>
    <t>Sorted *</t>
  </si>
  <si>
    <t>Reliability</t>
  </si>
  <si>
    <t>Increment</t>
  </si>
  <si>
    <t>Incremental</t>
  </si>
  <si>
    <t>Misstatements</t>
  </si>
  <si>
    <t>Factor</t>
  </si>
  <si>
    <t>minus 1</t>
  </si>
  <si>
    <t>Allowance</t>
  </si>
  <si>
    <t xml:space="preserve">  (7)</t>
  </si>
  <si>
    <t>(8)</t>
  </si>
  <si>
    <t>(9)</t>
  </si>
  <si>
    <t>(10)</t>
  </si>
  <si>
    <t>(11)</t>
  </si>
  <si>
    <t>col. (10) x (7)</t>
  </si>
  <si>
    <t>-</t>
  </si>
  <si>
    <t>+</t>
  </si>
  <si>
    <t>Incremental allowance</t>
  </si>
  <si>
    <t>Basic Precision:</t>
  </si>
  <si>
    <t>Reliability factor x Sampling interval</t>
  </si>
  <si>
    <t>x</t>
  </si>
  <si>
    <t>=</t>
  </si>
  <si>
    <t>Upper Limit on Misstatement</t>
  </si>
  <si>
    <t>Tolerable misstatement</t>
  </si>
  <si>
    <t xml:space="preserve"> W/P Ref.</t>
  </si>
  <si>
    <t>* Col. 7 contains projected misstatements for those book values that</t>
  </si>
  <si>
    <t>are less than the sampling interval, sorted in descending order.</t>
  </si>
  <si>
    <t>literals</t>
  </si>
  <si>
    <t>Since the upper limit on misstatement does not exceed the tolerable misstatement,</t>
  </si>
  <si>
    <t xml:space="preserve">the risk of incorrectly accepting the book amount of the population is within the </t>
  </si>
  <si>
    <t>limits specified  (see Acceptable risk of incorrect acceptance, above).</t>
  </si>
  <si>
    <t>Since the upper limit on misstatement exceeds the tolerable misstatement, the</t>
  </si>
  <si>
    <t>population cannot be accepted as materially correct, unless by correcting the</t>
  </si>
  <si>
    <t>known misstatements, the "upper limit" falls below the tolerable misstatement.</t>
  </si>
  <si>
    <t>Macros</t>
  </si>
  <si>
    <t>\s</t>
  </si>
  <si>
    <t>/dsrdPROJMISS~pCOL7~d~sNBR~a~g</t>
  </si>
  <si>
    <t>\u</t>
  </si>
  <si>
    <t>/dsrdPROJMISS~pNBR~a~g</t>
  </si>
  <si>
    <t>\p</t>
  </si>
  <si>
    <t>{MENUBRANCH printmenu}</t>
  </si>
  <si>
    <t>printmenu</t>
  </si>
  <si>
    <t>Attribute</t>
  </si>
  <si>
    <t>Samplesize</t>
  </si>
  <si>
    <t>Evaluation</t>
  </si>
  <si>
    <t xml:space="preserve">Print Attribute sampling workpaper </t>
  </si>
  <si>
    <t>Print PPS Sample size workpaper</t>
  </si>
  <si>
    <t>Print PPS Evaluation workpaper</t>
  </si>
  <si>
    <t>:prcrsATTRIBUTE~g</t>
  </si>
  <si>
    <t>:prcrsPPSIZE~g</t>
  </si>
  <si>
    <t>:prcrsPPSEVAL~g</t>
  </si>
  <si>
    <t>Tables:</t>
  </si>
  <si>
    <t>relytable</t>
  </si>
  <si>
    <t xml:space="preserve">     Reliability Factor Table </t>
  </si>
  <si>
    <t xml:space="preserve">    Risk of Incorrect Acceptance</t>
  </si>
  <si>
    <t>Overstate-</t>
  </si>
  <si>
    <t>1%</t>
  </si>
  <si>
    <t>5%</t>
  </si>
  <si>
    <t>10%</t>
  </si>
  <si>
    <t>15%</t>
  </si>
  <si>
    <t>20%</t>
  </si>
  <si>
    <t>25%</t>
  </si>
  <si>
    <t>30%</t>
  </si>
  <si>
    <t>ment errors</t>
  </si>
  <si>
    <t>25</t>
  </si>
  <si>
    <t>30</t>
  </si>
  <si>
    <t>NA</t>
  </si>
  <si>
    <t>Expanstable</t>
  </si>
  <si>
    <t>Expansion Factor Table</t>
  </si>
  <si>
    <t>December 31, 20X5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</si>
</sst>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%"/>
    <numFmt numFmtId="167" formatCode="0.0_)"/>
    <numFmt numFmtId="168" formatCode=";;;"/>
  </numFmts>
  <fonts count="24">
    <font>
      <sz val="10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Arial MT"/>
      <family val="0"/>
    </font>
    <font>
      <b/>
      <sz val="10"/>
      <name val="Arial MT"/>
      <family val="0"/>
    </font>
    <font>
      <i/>
      <sz val="12"/>
      <name val="Brush Script MT"/>
      <family val="0"/>
    </font>
    <font>
      <sz val="12"/>
      <name val="Arial MT"/>
      <family val="0"/>
    </font>
    <font>
      <i/>
      <sz val="10"/>
      <name val="Arial MT"/>
      <family val="0"/>
    </font>
    <font>
      <i/>
      <sz val="8"/>
      <name val="Arial MT"/>
      <family val="0"/>
    </font>
    <font>
      <sz val="8"/>
      <name val="Arial MT"/>
      <family val="0"/>
    </font>
    <font>
      <sz val="10"/>
      <color indexed="10"/>
      <name val="Arial MT"/>
      <family val="0"/>
    </font>
    <font>
      <sz val="9"/>
      <name val="Arial MT"/>
      <family val="0"/>
    </font>
    <font>
      <i/>
      <sz val="9"/>
      <name val="Brush Script MT"/>
      <family val="0"/>
    </font>
    <font>
      <b/>
      <sz val="9"/>
      <name val="Arial MT"/>
      <family val="0"/>
    </font>
    <font>
      <i/>
      <sz val="9"/>
      <name val="Arial MT"/>
      <family val="0"/>
    </font>
    <font>
      <sz val="9"/>
      <color indexed="12"/>
      <name val="Arial MT"/>
      <family val="0"/>
    </font>
    <font>
      <b/>
      <i/>
      <sz val="9"/>
      <name val="Arial MT"/>
      <family val="0"/>
    </font>
    <font>
      <sz val="10"/>
      <name val="Times New Roman"/>
      <family val="1"/>
    </font>
    <font>
      <sz val="11"/>
      <name val="Arial MT"/>
      <family val="0"/>
    </font>
    <font>
      <b/>
      <i/>
      <sz val="8"/>
      <name val="Arial MT"/>
      <family val="0"/>
    </font>
    <font>
      <sz val="8"/>
      <color indexed="12"/>
      <name val="Arial MT"/>
      <family val="0"/>
    </font>
    <font>
      <b/>
      <sz val="8"/>
      <name val="Arial MT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9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 applyProtection="1">
      <alignment horizontal="left"/>
      <protection/>
    </xf>
    <xf numFmtId="0" fontId="0" fillId="0" borderId="0" xfId="0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right"/>
      <protection/>
    </xf>
    <xf numFmtId="168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 horizontal="center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1" xfId="0" applyFont="1" applyBorder="1" applyAlignment="1" applyProtection="1">
      <alignment/>
      <protection locked="0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5" xfId="0" applyNumberFormat="1" applyBorder="1" applyAlignment="1" applyProtection="1">
      <alignment/>
      <protection/>
    </xf>
    <xf numFmtId="165" fontId="0" fillId="0" borderId="1" xfId="0" applyNumberFormat="1" applyBorder="1" applyAlignment="1" applyProtection="1">
      <alignment/>
      <protection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167" fontId="0" fillId="0" borderId="5" xfId="0" applyNumberFormat="1" applyBorder="1" applyAlignment="1" applyProtection="1">
      <alignment/>
      <protection/>
    </xf>
    <xf numFmtId="167" fontId="0" fillId="0" borderId="1" xfId="0" applyNumberFormat="1" applyBorder="1" applyAlignment="1" applyProtection="1">
      <alignment/>
      <protection/>
    </xf>
    <xf numFmtId="165" fontId="0" fillId="0" borderId="6" xfId="0" applyNumberFormat="1" applyBorder="1" applyAlignment="1" applyProtection="1">
      <alignment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9" fontId="12" fillId="0" borderId="0" xfId="0" applyNumberFormat="1" applyFont="1" applyAlignment="1" applyProtection="1">
      <alignment/>
      <protection/>
    </xf>
    <xf numFmtId="5" fontId="0" fillId="0" borderId="7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1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>
      <alignment horizontal="left"/>
    </xf>
    <xf numFmtId="164" fontId="17" fillId="0" borderId="8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13" fillId="0" borderId="1" xfId="0" applyFont="1" applyBorder="1" applyAlignment="1">
      <alignment horizontal="centerContinuous"/>
    </xf>
    <xf numFmtId="0" fontId="16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164" fontId="22" fillId="0" borderId="8" xfId="0" applyNumberFormat="1" applyFont="1" applyBorder="1" applyAlignment="1" applyProtection="1">
      <alignment/>
      <protection locked="0"/>
    </xf>
    <xf numFmtId="165" fontId="11" fillId="0" borderId="0" xfId="0" applyNumberFormat="1" applyFont="1" applyAlignment="1" applyProtection="1">
      <alignment horizontal="left"/>
      <protection locked="0"/>
    </xf>
    <xf numFmtId="166" fontId="23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167" fontId="11" fillId="0" borderId="0" xfId="0" applyNumberFormat="1" applyFont="1" applyAlignment="1" applyProtection="1">
      <alignment/>
      <protection/>
    </xf>
    <xf numFmtId="9" fontId="11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1" xfId="0" applyFont="1" applyBorder="1" applyAlignment="1" applyProtection="1">
      <alignment/>
      <protection locked="0"/>
    </xf>
    <xf numFmtId="0" fontId="22" fillId="0" borderId="1" xfId="0" applyFont="1" applyBorder="1" applyAlignment="1">
      <alignment/>
    </xf>
    <xf numFmtId="166" fontId="23" fillId="0" borderId="0" xfId="0" applyNumberFormat="1" applyFont="1" applyAlignment="1" applyProtection="1">
      <alignment horizontal="center"/>
      <protection/>
    </xf>
    <xf numFmtId="167" fontId="11" fillId="0" borderId="0" xfId="0" applyNumberFormat="1" applyFont="1" applyAlignment="1" applyProtection="1">
      <alignment horizontal="center"/>
      <protection/>
    </xf>
    <xf numFmtId="0" fontId="19" fillId="0" borderId="0" xfId="0" applyFont="1" applyAlignment="1" quotePrefix="1">
      <alignment horizontal="left"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1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11" fillId="0" borderId="12" xfId="0" applyFont="1" applyBorder="1" applyAlignment="1">
      <alignment/>
    </xf>
    <xf numFmtId="0" fontId="10" fillId="0" borderId="13" xfId="0" applyFont="1" applyBorder="1" applyAlignment="1" quotePrefix="1">
      <alignment horizontal="left"/>
    </xf>
    <xf numFmtId="0" fontId="0" fillId="0" borderId="14" xfId="0" applyBorder="1" applyAlignment="1">
      <alignment/>
    </xf>
    <xf numFmtId="0" fontId="11" fillId="0" borderId="15" xfId="0" applyFont="1" applyBorder="1" applyAlignment="1">
      <alignment/>
    </xf>
    <xf numFmtId="0" fontId="21" fillId="0" borderId="16" xfId="0" applyFont="1" applyBorder="1" applyAlignment="1" quotePrefix="1">
      <alignment horizontal="left"/>
    </xf>
    <xf numFmtId="164" fontId="23" fillId="0" borderId="0" xfId="0" applyNumberFormat="1" applyFont="1" applyAlignment="1" applyProtection="1">
      <alignment horizontal="left"/>
      <protection/>
    </xf>
    <xf numFmtId="0" fontId="18" fillId="0" borderId="0" xfId="0" applyFont="1" applyAlignment="1" quotePrefix="1">
      <alignment horizontal="left"/>
    </xf>
    <xf numFmtId="5" fontId="17" fillId="0" borderId="0" xfId="0" applyNumberFormat="1" applyFont="1" applyAlignment="1" applyProtection="1">
      <alignment/>
      <protection locked="0"/>
    </xf>
    <xf numFmtId="0" fontId="16" fillId="0" borderId="1" xfId="0" applyFont="1" applyBorder="1" applyAlignment="1">
      <alignment horizontal="center"/>
    </xf>
    <xf numFmtId="0" fontId="17" fillId="0" borderId="0" xfId="0" applyFont="1" applyAlignment="1" applyProtection="1">
      <alignment/>
      <protection locked="0"/>
    </xf>
    <xf numFmtId="5" fontId="17" fillId="0" borderId="8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Continuous"/>
    </xf>
    <xf numFmtId="5" fontId="17" fillId="0" borderId="0" xfId="0" applyNumberFormat="1" applyFont="1" applyAlignment="1" applyProtection="1">
      <alignment/>
      <protection locked="0"/>
    </xf>
    <xf numFmtId="5" fontId="15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1" fontId="15" fillId="0" borderId="0" xfId="0" applyNumberFormat="1" applyFont="1" applyAlignment="1">
      <alignment horizontal="center"/>
    </xf>
    <xf numFmtId="5" fontId="15" fillId="0" borderId="0" xfId="0" applyNumberFormat="1" applyFont="1" applyAlignment="1" applyProtection="1">
      <alignment horizontal="center"/>
      <protection/>
    </xf>
    <xf numFmtId="0" fontId="0" fillId="0" borderId="3" xfId="0" applyBorder="1" applyAlignment="1" quotePrefix="1">
      <alignment horizontal="center"/>
    </xf>
    <xf numFmtId="0" fontId="17" fillId="0" borderId="8" xfId="0" applyFont="1" applyBorder="1" applyAlignment="1" applyProtection="1" quotePrefix="1">
      <alignment horizontal="center"/>
      <protection locked="0"/>
    </xf>
    <xf numFmtId="0" fontId="0" fillId="0" borderId="0" xfId="0" applyAlignment="1" quotePrefix="1">
      <alignment horizontal="center"/>
    </xf>
    <xf numFmtId="9" fontId="12" fillId="0" borderId="0" xfId="0" applyNumberFormat="1" applyFont="1" applyAlignment="1" applyProtection="1">
      <alignment horizontal="center"/>
      <protection/>
    </xf>
    <xf numFmtId="5" fontId="12" fillId="0" borderId="0" xfId="0" applyNumberFormat="1" applyFont="1" applyAlignment="1" applyProtection="1">
      <alignment horizontal="center"/>
      <protection/>
    </xf>
    <xf numFmtId="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AC310"/>
  <sheetViews>
    <sheetView workbookViewId="0" topLeftCell="A1">
      <selection activeCell="H184" sqref="H184"/>
      <selection activeCell="A1" sqref="A1"/>
    </sheetView>
  </sheetViews>
  <sheetFormatPr defaultColWidth="9.7109375" defaultRowHeight="12.75"/>
  <cols>
    <col min="1" max="1" width="2.28125" style="0" customWidth="1"/>
    <col min="2" max="2" width="2.8515625" style="0" customWidth="1"/>
    <col min="3" max="3" width="16.7109375" style="0" customWidth="1"/>
    <col min="4" max="4" width="5.7109375" style="0" customWidth="1"/>
    <col min="5" max="5" width="3.7109375" style="0" customWidth="1"/>
    <col min="6" max="6" width="6.7109375" style="0" customWidth="1"/>
    <col min="7" max="7" width="3.140625" style="0" customWidth="1"/>
    <col min="8" max="8" width="6.7109375" style="0" customWidth="1"/>
    <col min="9" max="9" width="2.28125" style="0" customWidth="1"/>
    <col min="10" max="10" width="6.00390625" style="0" customWidth="1"/>
    <col min="11" max="11" width="6.7109375" style="0" customWidth="1"/>
    <col min="12" max="14" width="7.7109375" style="0" customWidth="1"/>
    <col min="18" max="29" width="5.7109375" style="0" customWidth="1"/>
  </cols>
  <sheetData>
    <row r="3" spans="2:13" ht="12.75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9" t="s">
        <v>1</v>
      </c>
      <c r="M3" s="19" t="s">
        <v>2</v>
      </c>
    </row>
    <row r="4" spans="1:13" ht="15">
      <c r="A4" s="64"/>
      <c r="B4" s="17" t="s">
        <v>3</v>
      </c>
      <c r="C4" s="18"/>
      <c r="D4" s="18"/>
      <c r="E4" s="18"/>
      <c r="F4" s="18"/>
      <c r="G4" s="18"/>
      <c r="H4" s="18"/>
      <c r="I4" s="18"/>
      <c r="J4" s="18"/>
      <c r="K4" s="18"/>
      <c r="L4" s="110" t="s">
        <v>4</v>
      </c>
      <c r="M4" s="20" t="s">
        <v>5</v>
      </c>
    </row>
    <row r="5" spans="2:13" ht="12.75">
      <c r="B5" s="17" t="s">
        <v>334</v>
      </c>
      <c r="C5" s="18"/>
      <c r="D5" s="18"/>
      <c r="E5" s="18"/>
      <c r="F5" s="18"/>
      <c r="G5" s="18"/>
      <c r="H5" s="18"/>
      <c r="I5" s="18"/>
      <c r="J5" s="18"/>
      <c r="K5" s="18"/>
      <c r="L5" s="9" t="s">
        <v>7</v>
      </c>
      <c r="M5" s="21" t="s">
        <v>8</v>
      </c>
    </row>
    <row r="8" ht="12.75">
      <c r="B8" s="22" t="s">
        <v>9</v>
      </c>
    </row>
    <row r="9" spans="2:18" ht="12.75">
      <c r="B9" s="61"/>
      <c r="C9" s="80" t="s">
        <v>10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48"/>
      <c r="P9" s="48"/>
      <c r="Q9" s="48"/>
      <c r="R9" s="48"/>
    </row>
    <row r="10" spans="2:18" ht="12.75">
      <c r="B10" s="65"/>
      <c r="C10" s="62" t="s">
        <v>11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48"/>
      <c r="P10" s="48"/>
      <c r="Q10" s="48"/>
      <c r="R10" s="48"/>
    </row>
    <row r="11" spans="2:18" ht="12.75">
      <c r="B11" s="65"/>
      <c r="C11" s="62" t="s">
        <v>12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48"/>
      <c r="P11" s="48"/>
      <c r="Q11" s="48"/>
      <c r="R11" s="48"/>
    </row>
    <row r="12" spans="2:18" ht="12.75">
      <c r="B12" s="65"/>
      <c r="C12" s="62" t="s">
        <v>13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48"/>
      <c r="P12" s="48"/>
      <c r="Q12" s="48"/>
      <c r="R12" s="48"/>
    </row>
    <row r="13" spans="2:18" ht="12.75">
      <c r="B13" s="65"/>
      <c r="C13" s="62" t="s">
        <v>14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48"/>
      <c r="P13" s="48"/>
      <c r="Q13" s="48"/>
      <c r="R13" s="48"/>
    </row>
    <row r="14" spans="2:18" ht="12.75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48"/>
      <c r="O14" s="48"/>
      <c r="P14" s="48"/>
      <c r="Q14" s="48"/>
      <c r="R14" s="48"/>
    </row>
    <row r="15" spans="2:18" ht="12.75">
      <c r="B15" s="48"/>
      <c r="C15" s="48"/>
      <c r="D15" s="48"/>
      <c r="E15" s="48"/>
      <c r="F15" s="48"/>
      <c r="G15" s="48"/>
      <c r="H15" s="49" t="s">
        <v>15</v>
      </c>
      <c r="I15" s="50"/>
      <c r="J15" s="48"/>
      <c r="K15" s="48"/>
      <c r="L15" s="48"/>
      <c r="M15" s="48"/>
      <c r="N15" s="48"/>
      <c r="O15" s="48"/>
      <c r="P15" s="48"/>
      <c r="Q15" s="48"/>
      <c r="R15" s="48"/>
    </row>
    <row r="16" spans="2:18" ht="12.75">
      <c r="B16" s="49" t="s">
        <v>16</v>
      </c>
      <c r="C16" s="49" t="s">
        <v>15</v>
      </c>
      <c r="D16" s="50"/>
      <c r="E16" s="50"/>
      <c r="F16" s="50"/>
      <c r="G16" s="50"/>
      <c r="H16" s="49" t="s">
        <v>17</v>
      </c>
      <c r="I16" s="50"/>
      <c r="J16" s="48"/>
      <c r="K16" s="48"/>
      <c r="L16" s="48"/>
      <c r="M16" s="48"/>
      <c r="N16" s="48"/>
      <c r="O16" s="48"/>
      <c r="P16" s="48"/>
      <c r="Q16" s="48"/>
      <c r="R16" s="48"/>
    </row>
    <row r="17" spans="2:18" ht="12.7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2:18" ht="12.75">
      <c r="B18" s="51" t="s">
        <v>18</v>
      </c>
      <c r="C18" s="52" t="s">
        <v>19</v>
      </c>
      <c r="D18" s="53"/>
      <c r="E18" s="54"/>
      <c r="F18" s="54"/>
      <c r="G18" s="54"/>
      <c r="H18" s="54"/>
      <c r="I18" s="48"/>
      <c r="J18" s="54">
        <v>234</v>
      </c>
      <c r="K18" s="48"/>
      <c r="L18" s="48"/>
      <c r="M18" s="48"/>
      <c r="N18" s="48"/>
      <c r="O18" s="48"/>
      <c r="P18" s="48"/>
      <c r="Q18" s="48"/>
      <c r="R18" s="48"/>
    </row>
    <row r="19" spans="2:18" ht="12.75">
      <c r="B19" s="51" t="s">
        <v>20</v>
      </c>
      <c r="C19" s="52" t="s">
        <v>21</v>
      </c>
      <c r="D19" s="53"/>
      <c r="E19" s="54"/>
      <c r="F19" s="54"/>
      <c r="G19" s="54"/>
      <c r="H19" s="54"/>
      <c r="I19" s="48"/>
      <c r="J19" s="54">
        <v>234</v>
      </c>
      <c r="K19" s="48"/>
      <c r="L19" s="48"/>
      <c r="M19" s="48"/>
      <c r="N19" s="48"/>
      <c r="O19" s="48"/>
      <c r="P19" s="48"/>
      <c r="Q19" s="48"/>
      <c r="R19" s="48"/>
    </row>
    <row r="20" spans="2:18" ht="12.75">
      <c r="B20" s="51" t="s">
        <v>22</v>
      </c>
      <c r="C20" s="52" t="s">
        <v>23</v>
      </c>
      <c r="D20" s="53"/>
      <c r="E20" s="54"/>
      <c r="F20" s="54"/>
      <c r="G20" s="54"/>
      <c r="H20" s="54"/>
      <c r="I20" s="48"/>
      <c r="J20" s="54">
        <v>234</v>
      </c>
      <c r="K20" s="48"/>
      <c r="L20" s="48"/>
      <c r="M20" s="48"/>
      <c r="N20" s="48"/>
      <c r="O20" s="48"/>
      <c r="P20" s="48"/>
      <c r="Q20" s="48"/>
      <c r="R20" s="48"/>
    </row>
    <row r="21" spans="2:18" ht="12.7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3:18" ht="12.75">
      <c r="C22" s="55" t="s">
        <v>24</v>
      </c>
      <c r="D22" s="48"/>
      <c r="E22" s="48"/>
      <c r="F22" s="52" t="s">
        <v>25</v>
      </c>
      <c r="G22" s="54"/>
      <c r="H22" s="54"/>
      <c r="I22" s="54"/>
      <c r="J22" s="48"/>
      <c r="K22" s="48"/>
      <c r="L22" s="48"/>
      <c r="M22" s="48"/>
      <c r="N22" s="48"/>
      <c r="O22" s="48"/>
      <c r="P22" s="48"/>
      <c r="Q22" s="48"/>
      <c r="R22" s="48"/>
    </row>
    <row r="23" spans="3:18" ht="9" customHeight="1"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3:18" ht="12.75">
      <c r="C24" s="55" t="s">
        <v>26</v>
      </c>
      <c r="D24" s="48"/>
      <c r="E24" s="48"/>
      <c r="F24" s="52" t="s">
        <v>27</v>
      </c>
      <c r="G24" s="54"/>
      <c r="H24" s="54"/>
      <c r="I24" s="54"/>
      <c r="J24" s="48"/>
      <c r="K24" s="48"/>
      <c r="L24" s="48"/>
      <c r="M24" s="48"/>
      <c r="N24" s="48"/>
      <c r="O24" s="48"/>
      <c r="P24" s="48"/>
      <c r="Q24" s="48"/>
      <c r="R24" s="48"/>
    </row>
    <row r="25" spans="2:18" ht="6.75" customHeight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3:18" ht="12.75">
      <c r="C26" s="55" t="s">
        <v>28</v>
      </c>
      <c r="D26" s="48"/>
      <c r="E26" s="48"/>
      <c r="F26" s="48"/>
      <c r="G26" s="48"/>
      <c r="H26" s="48"/>
      <c r="J26" s="56">
        <v>5</v>
      </c>
      <c r="K26" s="57" t="s">
        <v>29</v>
      </c>
      <c r="L26" s="48"/>
      <c r="M26" s="48"/>
      <c r="N26" s="48"/>
      <c r="O26" s="48"/>
      <c r="P26" s="48"/>
      <c r="Q26" s="48"/>
      <c r="R26" s="48"/>
    </row>
    <row r="27" spans="3:18" ht="12.75">
      <c r="C27" s="91" t="s">
        <v>30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2:18" ht="16.5" customHeight="1">
      <c r="B28" s="58"/>
      <c r="C28" s="48"/>
      <c r="D28" s="48"/>
      <c r="E28" s="48"/>
      <c r="F28" s="59" t="s">
        <v>31</v>
      </c>
      <c r="G28" s="59"/>
      <c r="H28" s="59"/>
      <c r="I28" s="59"/>
      <c r="J28" s="48"/>
      <c r="K28" s="59" t="s">
        <v>32</v>
      </c>
      <c r="L28" s="59"/>
      <c r="M28" s="59"/>
      <c r="N28" s="59"/>
      <c r="O28" s="48"/>
      <c r="P28" s="48"/>
      <c r="Q28" s="48"/>
      <c r="R28" s="48"/>
    </row>
    <row r="29" spans="2:18" ht="8.25" customHeight="1">
      <c r="B29" s="66"/>
      <c r="C29" s="67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48"/>
      <c r="P29" s="48"/>
      <c r="Q29" s="48"/>
      <c r="R29" s="48"/>
    </row>
    <row r="30" spans="2:18" ht="12.75">
      <c r="B30" s="89" t="s">
        <v>33</v>
      </c>
      <c r="C30" s="81"/>
      <c r="D30" s="82"/>
      <c r="E30" s="29"/>
      <c r="F30" s="28" t="s">
        <v>34</v>
      </c>
      <c r="G30" s="29"/>
      <c r="H30" s="28" t="s">
        <v>35</v>
      </c>
      <c r="I30" s="29"/>
      <c r="J30" s="28" t="s">
        <v>36</v>
      </c>
      <c r="K30" s="28" t="s">
        <v>37</v>
      </c>
      <c r="L30" s="28" t="s">
        <v>38</v>
      </c>
      <c r="M30" s="28" t="s">
        <v>38</v>
      </c>
      <c r="N30" s="28" t="s">
        <v>39</v>
      </c>
      <c r="O30" s="48"/>
      <c r="P30" s="48"/>
      <c r="Q30" s="48"/>
      <c r="R30" s="48"/>
    </row>
    <row r="31" spans="2:18" ht="12.75">
      <c r="B31" s="83" t="s">
        <v>40</v>
      </c>
      <c r="C31" s="84"/>
      <c r="D31" s="85"/>
      <c r="E31" s="29"/>
      <c r="F31" s="28" t="s">
        <v>41</v>
      </c>
      <c r="G31" s="29"/>
      <c r="H31" s="28" t="s">
        <v>42</v>
      </c>
      <c r="I31" s="29"/>
      <c r="J31" s="28" t="s">
        <v>17</v>
      </c>
      <c r="K31" s="28" t="s">
        <v>43</v>
      </c>
      <c r="L31" s="28" t="s">
        <v>44</v>
      </c>
      <c r="M31" s="28" t="s">
        <v>45</v>
      </c>
      <c r="N31" s="28" t="s">
        <v>46</v>
      </c>
      <c r="O31" s="48"/>
      <c r="P31" s="48"/>
      <c r="Q31" s="48"/>
      <c r="R31" s="48"/>
    </row>
    <row r="32" spans="2:18" ht="12.75">
      <c r="B32" s="83" t="s">
        <v>47</v>
      </c>
      <c r="C32" s="84"/>
      <c r="D32" s="85"/>
      <c r="E32" s="29"/>
      <c r="F32" s="28" t="s">
        <v>48</v>
      </c>
      <c r="G32" s="29"/>
      <c r="H32" s="28" t="s">
        <v>48</v>
      </c>
      <c r="I32" s="29"/>
      <c r="J32" s="29"/>
      <c r="K32" s="28" t="s">
        <v>49</v>
      </c>
      <c r="L32" s="28" t="s">
        <v>50</v>
      </c>
      <c r="M32" s="28" t="s">
        <v>51</v>
      </c>
      <c r="N32" s="28" t="s">
        <v>52</v>
      </c>
      <c r="O32" s="48"/>
      <c r="P32" s="48"/>
      <c r="Q32" s="48"/>
      <c r="R32" s="48"/>
    </row>
    <row r="33" spans="2:18" ht="12.75">
      <c r="B33" s="86" t="s">
        <v>53</v>
      </c>
      <c r="C33" s="87"/>
      <c r="D33" s="88"/>
      <c r="E33" s="29"/>
      <c r="F33" s="28" t="s">
        <v>54</v>
      </c>
      <c r="G33" s="29"/>
      <c r="H33" s="28" t="s">
        <v>55</v>
      </c>
      <c r="I33" s="29"/>
      <c r="J33" s="30" t="s">
        <v>56</v>
      </c>
      <c r="K33" s="29"/>
      <c r="L33" s="28" t="s">
        <v>48</v>
      </c>
      <c r="M33" s="28" t="s">
        <v>57</v>
      </c>
      <c r="N33" s="28" t="s">
        <v>58</v>
      </c>
      <c r="O33" s="48"/>
      <c r="P33" s="48"/>
      <c r="Q33" s="48"/>
      <c r="R33" s="48"/>
    </row>
    <row r="34" spans="2:18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48"/>
      <c r="P34" s="48"/>
      <c r="Q34" s="48"/>
      <c r="R34" s="48"/>
    </row>
    <row r="35" spans="2:18" ht="12.75">
      <c r="B35" s="28" t="s">
        <v>59</v>
      </c>
      <c r="C35" s="30" t="s">
        <v>60</v>
      </c>
      <c r="D35" s="29"/>
      <c r="E35" s="29"/>
      <c r="F35" s="68">
        <v>7</v>
      </c>
      <c r="G35" s="69" t="s">
        <v>29</v>
      </c>
      <c r="H35" s="68">
        <v>0</v>
      </c>
      <c r="I35" s="69" t="s">
        <v>29</v>
      </c>
      <c r="J35" s="24">
        <f>IF($J$26=0,"NA",(VLOOKUP($S$306,IF($J$26=5,$R$182:$AC$201,IF($J$26=10,$R$213:$AC$232,NA())),HLOOKUP($R$306,IF($J$26=5,$S$180:$AC$181,IF($J$26=10,$S$211:$AC$212,NA())),2)+1)))</f>
        <v>42</v>
      </c>
      <c r="K35" s="68">
        <v>0</v>
      </c>
      <c r="L35" s="78">
        <f>T306/J35</f>
        <v>0.07142857142857142</v>
      </c>
      <c r="M35" s="70" t="str">
        <f>VLOOKUP(L35*100,$O$133:$Q$136,3)</f>
        <v>MOD</v>
      </c>
      <c r="N35" s="90" t="str">
        <f>IF(L35&lt;=(F35/100)+0.01,"None",IF(F35=0,NA(),T306/(F35/100)-J35))</f>
        <v>None</v>
      </c>
      <c r="O35" s="48"/>
      <c r="P35" s="48"/>
      <c r="Q35" s="48"/>
      <c r="R35" s="48"/>
    </row>
    <row r="36" spans="2:18" ht="12.75">
      <c r="B36" s="29"/>
      <c r="C36" s="30" t="s">
        <v>61</v>
      </c>
      <c r="D36" s="29"/>
      <c r="E36" s="29"/>
      <c r="F36" s="29"/>
      <c r="G36" s="29"/>
      <c r="H36" s="29"/>
      <c r="I36" s="29"/>
      <c r="J36" s="111"/>
      <c r="K36" s="29"/>
      <c r="L36" s="28"/>
      <c r="M36" s="29"/>
      <c r="N36" s="30"/>
      <c r="O36" s="48"/>
      <c r="P36" s="48"/>
      <c r="Q36" s="48"/>
      <c r="R36" s="48"/>
    </row>
    <row r="37" spans="2:18" ht="12.75">
      <c r="B37" s="29"/>
      <c r="C37" s="30" t="s">
        <v>62</v>
      </c>
      <c r="D37" s="29"/>
      <c r="E37" s="29"/>
      <c r="F37" s="71"/>
      <c r="G37" s="29"/>
      <c r="H37" s="29"/>
      <c r="I37" s="29"/>
      <c r="J37" s="111"/>
      <c r="K37" s="71"/>
      <c r="L37" s="79"/>
      <c r="M37" s="72"/>
      <c r="N37" s="30"/>
      <c r="O37" s="48"/>
      <c r="P37" s="48"/>
      <c r="Q37" s="48"/>
      <c r="R37" s="48"/>
    </row>
    <row r="38" spans="2:18" ht="6.75" customHeight="1">
      <c r="B38" s="29"/>
      <c r="C38" s="29"/>
      <c r="D38" s="29"/>
      <c r="E38" s="29"/>
      <c r="F38" s="71"/>
      <c r="G38" s="29"/>
      <c r="H38" s="71"/>
      <c r="I38" s="29"/>
      <c r="J38" s="111"/>
      <c r="K38" s="71"/>
      <c r="L38" s="28"/>
      <c r="M38" s="29"/>
      <c r="N38" s="30"/>
      <c r="O38" s="48"/>
      <c r="P38" s="48"/>
      <c r="Q38" s="48"/>
      <c r="R38" s="48"/>
    </row>
    <row r="39" spans="2:18" ht="12.75">
      <c r="B39" s="28" t="s">
        <v>63</v>
      </c>
      <c r="C39" s="30" t="s">
        <v>64</v>
      </c>
      <c r="D39" s="29"/>
      <c r="E39" s="29"/>
      <c r="F39" s="68">
        <v>10</v>
      </c>
      <c r="G39" s="73" t="s">
        <v>29</v>
      </c>
      <c r="H39" s="68">
        <v>0</v>
      </c>
      <c r="I39" s="73" t="s">
        <v>29</v>
      </c>
      <c r="J39" s="24">
        <f>IF($J$26=0,"NA",(VLOOKUP($S$307,IF($J$26=5,$R$182:$AC$201,IF($J$26=10,$R$213:$AC$232,NA())),HLOOKUP($R$307,IF($J$26=5,$S$180:$AC$181,IF($J$26=10,$S$211:$AC$212,NA())),2)+1)))</f>
        <v>29</v>
      </c>
      <c r="K39" s="68">
        <v>0</v>
      </c>
      <c r="L39" s="78">
        <f>T307/J39</f>
        <v>0.10344827586206896</v>
      </c>
      <c r="M39" s="70" t="str">
        <f>VLOOKUP(L39*100,$O$133:$Q$136,3)</f>
        <v>MOD</v>
      </c>
      <c r="N39" s="90" t="str">
        <f>IF(L39&lt;=(F39/100)+0.01,"None",IF(F39=0,NA(),T307/(F39/100)-J39))</f>
        <v>None</v>
      </c>
      <c r="O39" s="48"/>
      <c r="P39" s="48"/>
      <c r="Q39" s="48"/>
      <c r="R39" s="48"/>
    </row>
    <row r="40" spans="2:18" ht="12.75">
      <c r="B40" s="29"/>
      <c r="C40" s="30" t="s">
        <v>65</v>
      </c>
      <c r="D40" s="29"/>
      <c r="E40" s="29"/>
      <c r="F40" s="29"/>
      <c r="G40" s="29"/>
      <c r="H40" s="29"/>
      <c r="I40" s="29"/>
      <c r="J40" s="111"/>
      <c r="K40" s="29"/>
      <c r="L40" s="28"/>
      <c r="M40" s="72"/>
      <c r="N40" s="30"/>
      <c r="O40" s="48"/>
      <c r="P40" s="48"/>
      <c r="Q40" s="48"/>
      <c r="R40" s="48"/>
    </row>
    <row r="41" spans="2:18" ht="12.75">
      <c r="B41" s="29"/>
      <c r="C41" s="30" t="s">
        <v>66</v>
      </c>
      <c r="D41" s="29"/>
      <c r="E41" s="29"/>
      <c r="F41" s="29"/>
      <c r="G41" s="29"/>
      <c r="H41" s="29"/>
      <c r="I41" s="29"/>
      <c r="J41" s="111"/>
      <c r="K41" s="71"/>
      <c r="L41" s="79"/>
      <c r="M41" s="72"/>
      <c r="N41" s="30"/>
      <c r="O41" s="48"/>
      <c r="P41" s="48"/>
      <c r="Q41" s="48"/>
      <c r="R41" s="48"/>
    </row>
    <row r="42" spans="2:18" ht="6" customHeight="1">
      <c r="B42" s="29"/>
      <c r="C42" s="29"/>
      <c r="D42" s="29"/>
      <c r="E42" s="29"/>
      <c r="F42" s="71"/>
      <c r="G42" s="29"/>
      <c r="H42" s="71"/>
      <c r="I42" s="29"/>
      <c r="J42" s="111"/>
      <c r="K42" s="71"/>
      <c r="L42" s="28"/>
      <c r="M42" s="29"/>
      <c r="N42" s="30"/>
      <c r="O42" s="48"/>
      <c r="P42" s="48"/>
      <c r="Q42" s="48"/>
      <c r="R42" s="48"/>
    </row>
    <row r="43" spans="2:18" ht="12.75">
      <c r="B43" s="28" t="s">
        <v>67</v>
      </c>
      <c r="C43" s="30" t="s">
        <v>60</v>
      </c>
      <c r="D43" s="29"/>
      <c r="E43" s="29"/>
      <c r="F43" s="68">
        <v>10</v>
      </c>
      <c r="G43" s="73" t="s">
        <v>29</v>
      </c>
      <c r="H43" s="68">
        <v>1</v>
      </c>
      <c r="I43" s="73" t="s">
        <v>29</v>
      </c>
      <c r="J43" s="24">
        <f>IF($J$26=0,"NA",(VLOOKUP($S$308,IF($J$26=5,$R$182:$AC$201,IF($J$26=10,$R$213:$AC$232,NA())),HLOOKUP($R$308,IF($J$26=5,$S$180:$AC$181,IF($J$26=10,$S$211:$AC$212,NA())),2)+1)))</f>
        <v>46</v>
      </c>
      <c r="K43" s="68">
        <v>0</v>
      </c>
      <c r="L43" s="78">
        <f>T308/J43</f>
        <v>0.06521739130434782</v>
      </c>
      <c r="M43" s="70" t="str">
        <f>VLOOKUP(L43*100,$O$133:$Q$136,3)</f>
        <v>LOW</v>
      </c>
      <c r="N43" s="90" t="str">
        <f>IF(L43&lt;=(F43/100)+0.01,"None",IF(F43=0,NA(),T308/(F43/100)-J43))</f>
        <v>None</v>
      </c>
      <c r="O43" s="48"/>
      <c r="P43" s="48"/>
      <c r="Q43" s="48"/>
      <c r="R43" s="48"/>
    </row>
    <row r="44" spans="2:18" ht="12.75">
      <c r="B44" s="29"/>
      <c r="C44" s="30" t="s">
        <v>68</v>
      </c>
      <c r="D44" s="29"/>
      <c r="E44" s="29"/>
      <c r="F44" s="29"/>
      <c r="G44" s="29"/>
      <c r="H44" s="29"/>
      <c r="I44" s="29"/>
      <c r="J44" s="61"/>
      <c r="K44" s="29"/>
      <c r="L44" s="28"/>
      <c r="M44" s="72"/>
      <c r="N44" s="30"/>
      <c r="O44" s="48"/>
      <c r="P44" s="48"/>
      <c r="Q44" s="48"/>
      <c r="R44" s="48"/>
    </row>
    <row r="45" spans="2:18" ht="12.75">
      <c r="B45" s="29"/>
      <c r="C45" s="30" t="s">
        <v>69</v>
      </c>
      <c r="D45" s="29"/>
      <c r="E45" s="29"/>
      <c r="F45" s="29"/>
      <c r="G45" s="29"/>
      <c r="H45" s="29"/>
      <c r="I45" s="29"/>
      <c r="J45" s="61"/>
      <c r="K45" s="29"/>
      <c r="L45" s="29"/>
      <c r="M45" s="29"/>
      <c r="N45" s="30"/>
      <c r="O45" s="48"/>
      <c r="P45" s="48"/>
      <c r="Q45" s="48"/>
      <c r="R45" s="48"/>
    </row>
    <row r="46" spans="2:18" ht="12.75">
      <c r="B46" s="29"/>
      <c r="C46" s="30" t="s">
        <v>70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0"/>
      <c r="O46" s="48"/>
      <c r="P46" s="48"/>
      <c r="Q46" s="48"/>
      <c r="R46" s="48"/>
    </row>
    <row r="47" spans="2:18" ht="7.5" customHeight="1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0"/>
      <c r="O47" s="48"/>
      <c r="P47" s="48"/>
      <c r="Q47" s="48"/>
      <c r="R47" s="48"/>
    </row>
    <row r="48" spans="2:18" ht="12.75">
      <c r="B48" s="29"/>
      <c r="C48" s="29"/>
      <c r="D48" s="74" t="s">
        <v>71</v>
      </c>
      <c r="E48" s="29"/>
      <c r="F48" s="75" t="s">
        <v>72</v>
      </c>
      <c r="G48" s="29"/>
      <c r="H48" s="29"/>
      <c r="I48" s="29"/>
      <c r="J48" s="29"/>
      <c r="K48" s="29"/>
      <c r="L48" s="29"/>
      <c r="M48" s="29"/>
      <c r="N48" s="30"/>
      <c r="O48" s="48"/>
      <c r="P48" s="48"/>
      <c r="Q48" s="48"/>
      <c r="R48" s="48"/>
    </row>
    <row r="49" spans="2:18" ht="12.75">
      <c r="B49" s="75" t="s">
        <v>73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0"/>
      <c r="O49" s="48"/>
      <c r="P49" s="48"/>
      <c r="Q49" s="48"/>
      <c r="R49" s="48"/>
    </row>
    <row r="50" spans="2:18" ht="12.75">
      <c r="B50" s="29"/>
      <c r="C50" s="30" t="s">
        <v>74</v>
      </c>
      <c r="D50" s="30" t="s">
        <v>75</v>
      </c>
      <c r="E50" s="29"/>
      <c r="F50" s="76"/>
      <c r="G50" s="77"/>
      <c r="H50" s="29"/>
      <c r="I50" s="29"/>
      <c r="J50" s="29"/>
      <c r="K50" s="29"/>
      <c r="L50" s="29"/>
      <c r="M50" s="29"/>
      <c r="N50" s="30"/>
      <c r="O50" s="48"/>
      <c r="P50" s="48"/>
      <c r="Q50" s="48"/>
      <c r="R50" s="48"/>
    </row>
    <row r="51" spans="2:18" ht="12.75">
      <c r="B51" s="29"/>
      <c r="C51" s="30" t="s">
        <v>76</v>
      </c>
      <c r="D51" s="30" t="s">
        <v>75</v>
      </c>
      <c r="E51" s="29"/>
      <c r="F51" s="76"/>
      <c r="G51" s="77"/>
      <c r="H51" s="29"/>
      <c r="I51" s="29"/>
      <c r="J51" s="29"/>
      <c r="K51" s="29"/>
      <c r="L51" s="29"/>
      <c r="M51" s="29"/>
      <c r="N51" s="30"/>
      <c r="O51" s="48"/>
      <c r="P51" s="48"/>
      <c r="Q51" s="48"/>
      <c r="R51" s="48"/>
    </row>
    <row r="52" spans="2:18" ht="12.75">
      <c r="B52" s="29"/>
      <c r="C52" s="30" t="s">
        <v>77</v>
      </c>
      <c r="D52" s="30" t="s">
        <v>75</v>
      </c>
      <c r="E52" s="29"/>
      <c r="F52" s="76"/>
      <c r="G52" s="77"/>
      <c r="H52" s="29"/>
      <c r="I52" s="29"/>
      <c r="J52" s="29"/>
      <c r="K52" s="29"/>
      <c r="L52" s="29"/>
      <c r="M52" s="29"/>
      <c r="N52" s="30"/>
      <c r="O52" s="48"/>
      <c r="P52" s="48"/>
      <c r="Q52" s="48"/>
      <c r="R52" s="48"/>
    </row>
    <row r="53" spans="2:18" ht="12.75">
      <c r="B53" s="29"/>
      <c r="C53" s="30" t="s">
        <v>78</v>
      </c>
      <c r="D53" s="30" t="s">
        <v>79</v>
      </c>
      <c r="E53" s="29"/>
      <c r="F53" s="76"/>
      <c r="G53" s="77"/>
      <c r="H53" s="29"/>
      <c r="I53" s="29"/>
      <c r="J53" s="29"/>
      <c r="K53" s="29"/>
      <c r="L53" s="29"/>
      <c r="M53" s="29"/>
      <c r="N53" s="30"/>
      <c r="O53" s="48"/>
      <c r="P53" s="48"/>
      <c r="Q53" s="48"/>
      <c r="R53" s="48"/>
    </row>
    <row r="54" spans="2:18" ht="12.7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0"/>
      <c r="O54" s="48"/>
      <c r="P54" s="48"/>
      <c r="Q54" s="48"/>
      <c r="R54" s="48"/>
    </row>
    <row r="55" spans="2:18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0"/>
      <c r="O55" s="48"/>
      <c r="P55" s="48"/>
      <c r="Q55" s="48"/>
      <c r="R55" s="48"/>
    </row>
    <row r="56" spans="2:18" ht="12.7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57"/>
      <c r="O56" s="48"/>
      <c r="P56" s="48"/>
      <c r="Q56" s="48"/>
      <c r="R56" s="48"/>
    </row>
    <row r="57" spans="2:18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57"/>
      <c r="O57" s="48"/>
      <c r="P57" s="48"/>
      <c r="Q57" s="48"/>
      <c r="R57" s="48"/>
    </row>
    <row r="58" spans="2:18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57"/>
      <c r="O58" s="48"/>
      <c r="P58" s="48"/>
      <c r="Q58" s="48"/>
      <c r="R58" s="48"/>
    </row>
    <row r="59" spans="2:18" ht="12.7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57"/>
      <c r="O59" s="48"/>
      <c r="P59" s="48"/>
      <c r="Q59" s="48"/>
      <c r="R59" s="48"/>
    </row>
    <row r="60" spans="2:18" ht="12.7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57"/>
      <c r="O60" s="48"/>
      <c r="P60" s="48"/>
      <c r="Q60" s="48"/>
      <c r="R60" s="48"/>
    </row>
    <row r="61" spans="2:18" ht="12.7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57"/>
      <c r="O61" s="48"/>
      <c r="P61" s="48"/>
      <c r="Q61" s="48"/>
      <c r="R61" s="48"/>
    </row>
    <row r="62" spans="2:18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57"/>
      <c r="O62" s="48"/>
      <c r="P62" s="48"/>
      <c r="Q62" s="48"/>
      <c r="R62" s="48"/>
    </row>
    <row r="63" spans="2:18" ht="12.7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57"/>
      <c r="O63" s="48"/>
      <c r="P63" s="48"/>
      <c r="Q63" s="48"/>
      <c r="R63" s="48"/>
    </row>
    <row r="64" spans="2:18" ht="12.7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57"/>
      <c r="O64" s="48"/>
      <c r="P64" s="48"/>
      <c r="Q64" s="48"/>
      <c r="R64" s="48"/>
    </row>
    <row r="65" spans="2:18" ht="12.7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57"/>
      <c r="O65" s="48"/>
      <c r="P65" s="48"/>
      <c r="Q65" s="48"/>
      <c r="R65" s="48"/>
    </row>
    <row r="66" spans="2:18" ht="12.7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57"/>
      <c r="O66" s="48"/>
      <c r="P66" s="48"/>
      <c r="Q66" s="48"/>
      <c r="R66" s="48"/>
    </row>
    <row r="67" spans="2:18" ht="12.7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57"/>
      <c r="O67" s="48"/>
      <c r="P67" s="48"/>
      <c r="Q67" s="48"/>
      <c r="R67" s="48"/>
    </row>
    <row r="68" spans="2:18" ht="12.7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57"/>
      <c r="O68" s="48"/>
      <c r="P68" s="48"/>
      <c r="Q68" s="48"/>
      <c r="R68" s="48"/>
    </row>
    <row r="102" ht="12.75">
      <c r="N102" s="9" t="s">
        <v>80</v>
      </c>
    </row>
    <row r="103" spans="15:16" ht="12.75">
      <c r="O103" s="9" t="s">
        <v>34</v>
      </c>
      <c r="P103" s="8" t="s">
        <v>81</v>
      </c>
    </row>
    <row r="105" spans="15:17" ht="12.75">
      <c r="O105" s="9" t="s">
        <v>82</v>
      </c>
      <c r="P105" s="9" t="s">
        <v>83</v>
      </c>
      <c r="Q105" s="9" t="s">
        <v>84</v>
      </c>
    </row>
    <row r="106" spans="15:17" ht="12.75">
      <c r="O106" s="9" t="s">
        <v>85</v>
      </c>
      <c r="P106" s="9" t="s">
        <v>86</v>
      </c>
      <c r="Q106" s="9" t="s">
        <v>87</v>
      </c>
    </row>
    <row r="108" spans="15:17" ht="12.75">
      <c r="O108" s="9" t="s">
        <v>88</v>
      </c>
      <c r="P108" s="9" t="s">
        <v>89</v>
      </c>
      <c r="Q108" s="10" t="s">
        <v>89</v>
      </c>
    </row>
    <row r="109" spans="15:17" ht="12.75">
      <c r="O109" s="9" t="s">
        <v>90</v>
      </c>
      <c r="P109" s="9" t="s">
        <v>91</v>
      </c>
      <c r="Q109" s="10" t="s">
        <v>92</v>
      </c>
    </row>
    <row r="110" spans="15:17" ht="12.75">
      <c r="O110" s="9" t="s">
        <v>93</v>
      </c>
      <c r="P110" s="9" t="s">
        <v>94</v>
      </c>
      <c r="Q110" s="9" t="s">
        <v>94</v>
      </c>
    </row>
    <row r="111" spans="15:17" ht="12.75">
      <c r="O111" s="9" t="s">
        <v>44</v>
      </c>
      <c r="P111" s="9" t="s">
        <v>95</v>
      </c>
      <c r="Q111" s="9" t="s">
        <v>95</v>
      </c>
    </row>
    <row r="114" spans="15:17" ht="12.75">
      <c r="O114" s="11" t="s">
        <v>96</v>
      </c>
      <c r="Q114" s="9" t="s">
        <v>97</v>
      </c>
    </row>
    <row r="115" spans="15:17" ht="12.75">
      <c r="O115">
        <f>IF(OR($AV$342="N",$AV$342="NO"),1,2)</f>
        <v>1</v>
      </c>
      <c r="Q115" t="e">
        <f>VLOOKUP(UPPER($AV$337),$O$122:$Q$125,$O$115+1)</f>
        <v>#VALUE!</v>
      </c>
    </row>
    <row r="117" spans="15:20" ht="12.75">
      <c r="O117" s="8" t="s">
        <v>98</v>
      </c>
      <c r="P117" s="8" t="s">
        <v>99</v>
      </c>
      <c r="T117" s="9" t="s">
        <v>100</v>
      </c>
    </row>
    <row r="118" spans="15:20" ht="12.75">
      <c r="O118" s="8" t="s">
        <v>101</v>
      </c>
      <c r="P118" s="9" t="s">
        <v>102</v>
      </c>
      <c r="T118" s="9" t="s">
        <v>103</v>
      </c>
    </row>
    <row r="119" spans="16:17" ht="12.75">
      <c r="P119" s="11" t="s">
        <v>104</v>
      </c>
      <c r="Q119" s="11" t="s">
        <v>105</v>
      </c>
    </row>
    <row r="120" spans="15:21" ht="12.75">
      <c r="O120" s="9" t="s">
        <v>106</v>
      </c>
      <c r="P120">
        <v>1</v>
      </c>
      <c r="Q120">
        <v>2</v>
      </c>
      <c r="T120" s="9" t="s">
        <v>107</v>
      </c>
      <c r="U120" s="9" t="s">
        <v>108</v>
      </c>
    </row>
    <row r="122" spans="15:20" ht="12.75">
      <c r="O122" s="8" t="s">
        <v>109</v>
      </c>
      <c r="P122">
        <v>5</v>
      </c>
      <c r="Q122">
        <v>7</v>
      </c>
      <c r="T122" s="9" t="s">
        <v>110</v>
      </c>
    </row>
    <row r="123" spans="15:17" ht="12.75">
      <c r="O123" s="8" t="s">
        <v>111</v>
      </c>
      <c r="P123">
        <v>8</v>
      </c>
      <c r="Q123">
        <v>10</v>
      </c>
    </row>
    <row r="124" spans="15:20" ht="12.75">
      <c r="O124" s="8" t="s">
        <v>112</v>
      </c>
      <c r="P124">
        <v>15</v>
      </c>
      <c r="Q124">
        <v>20</v>
      </c>
      <c r="T124" s="9" t="s">
        <v>113</v>
      </c>
    </row>
    <row r="125" spans="16:20" ht="12.75">
      <c r="P125" t="e">
        <f>NA()</f>
        <v>#N/A</v>
      </c>
      <c r="Q125" t="e">
        <f>NA()</f>
        <v>#N/A</v>
      </c>
      <c r="T125" s="9" t="s">
        <v>114</v>
      </c>
    </row>
    <row r="126" ht="12.75">
      <c r="T126" s="9" t="s">
        <v>115</v>
      </c>
    </row>
    <row r="128" ht="12.75">
      <c r="O128" s="9" t="s">
        <v>116</v>
      </c>
    </row>
    <row r="129" spans="15:17" ht="12.75">
      <c r="O129" s="11" t="s">
        <v>117</v>
      </c>
      <c r="Q129" s="9" t="s">
        <v>118</v>
      </c>
    </row>
    <row r="130" spans="15:17" ht="12.75">
      <c r="O130" s="11" t="s">
        <v>119</v>
      </c>
      <c r="Q130" s="9" t="s">
        <v>120</v>
      </c>
    </row>
    <row r="131" spans="15:21" ht="12.75">
      <c r="O131" s="11" t="s">
        <v>121</v>
      </c>
      <c r="Q131" s="9" t="s">
        <v>119</v>
      </c>
      <c r="U131" s="9" t="s">
        <v>122</v>
      </c>
    </row>
    <row r="132" ht="12.75">
      <c r="U132" s="9" t="s">
        <v>123</v>
      </c>
    </row>
    <row r="133" spans="15:17" ht="12.75">
      <c r="O133">
        <v>0</v>
      </c>
      <c r="P133" s="9" t="s">
        <v>124</v>
      </c>
      <c r="Q133" s="9" t="s">
        <v>109</v>
      </c>
    </row>
    <row r="134" spans="15:17" ht="12.75">
      <c r="O134">
        <v>6.9</v>
      </c>
      <c r="P134" s="9" t="s">
        <v>125</v>
      </c>
      <c r="Q134" s="9" t="s">
        <v>111</v>
      </c>
    </row>
    <row r="135" spans="15:17" ht="12.75">
      <c r="O135">
        <v>11</v>
      </c>
      <c r="P135" s="9" t="s">
        <v>126</v>
      </c>
      <c r="Q135" s="9" t="s">
        <v>112</v>
      </c>
    </row>
    <row r="136" spans="15:17" ht="12.75">
      <c r="O136">
        <v>20</v>
      </c>
      <c r="P136" s="9" t="s">
        <v>127</v>
      </c>
      <c r="Q136" s="9" t="s">
        <v>128</v>
      </c>
    </row>
    <row r="140" ht="12.75">
      <c r="O140" s="9" t="s">
        <v>129</v>
      </c>
    </row>
    <row r="141" ht="12.75">
      <c r="P141" s="8" t="s">
        <v>130</v>
      </c>
    </row>
    <row r="142" spans="15:16" ht="12.75">
      <c r="O142" s="8" t="s">
        <v>131</v>
      </c>
      <c r="P142" s="8" t="s">
        <v>132</v>
      </c>
    </row>
    <row r="143" spans="15:18" ht="12.75">
      <c r="O143" s="8" t="s">
        <v>133</v>
      </c>
      <c r="P143" s="8" t="s">
        <v>44</v>
      </c>
      <c r="Q143" s="8" t="s">
        <v>90</v>
      </c>
      <c r="R143" s="8" t="s">
        <v>88</v>
      </c>
    </row>
    <row r="146" spans="15:18" ht="12.75">
      <c r="O146">
        <v>0</v>
      </c>
      <c r="P146">
        <v>12</v>
      </c>
      <c r="Q146">
        <v>20</v>
      </c>
      <c r="R146">
        <v>30</v>
      </c>
    </row>
    <row r="147" spans="15:18" ht="12.75">
      <c r="O147">
        <v>1</v>
      </c>
      <c r="P147">
        <v>18</v>
      </c>
      <c r="Q147">
        <v>38</v>
      </c>
      <c r="R147">
        <v>55</v>
      </c>
    </row>
    <row r="148" spans="15:18" ht="12.75">
      <c r="O148">
        <v>2</v>
      </c>
      <c r="P148">
        <v>25</v>
      </c>
      <c r="Q148">
        <v>52</v>
      </c>
      <c r="R148">
        <v>75</v>
      </c>
    </row>
    <row r="149" spans="15:18" ht="12.75">
      <c r="O149">
        <v>3</v>
      </c>
      <c r="P149">
        <v>32</v>
      </c>
      <c r="Q149">
        <v>65</v>
      </c>
      <c r="R149">
        <v>94</v>
      </c>
    </row>
    <row r="154" ht="12.75">
      <c r="N154" s="9" t="s">
        <v>134</v>
      </c>
    </row>
    <row r="155" spans="14:16" ht="12.75">
      <c r="N155">
        <f>IF(AR350="MAX",2,IF(AR350="MOD",3,IF(AR350="LOW",4,0)))</f>
        <v>2</v>
      </c>
      <c r="O155" s="9" t="s">
        <v>135</v>
      </c>
      <c r="P155" s="9" t="s">
        <v>136</v>
      </c>
    </row>
    <row r="156" ht="12.75">
      <c r="P156" s="9" t="s">
        <v>137</v>
      </c>
    </row>
    <row r="157" ht="12.75">
      <c r="P157" s="9" t="s">
        <v>138</v>
      </c>
    </row>
    <row r="158" ht="12.75">
      <c r="P158" s="9" t="s">
        <v>139</v>
      </c>
    </row>
    <row r="159" spans="14:17" ht="12.75">
      <c r="N159" s="9" t="s">
        <v>140</v>
      </c>
      <c r="Q159" s="9" t="s">
        <v>141</v>
      </c>
    </row>
    <row r="160" spans="14:18" ht="12.75">
      <c r="N160" s="9" t="s">
        <v>142</v>
      </c>
      <c r="P160" s="8" t="s">
        <v>128</v>
      </c>
      <c r="Q160" s="8" t="s">
        <v>111</v>
      </c>
      <c r="R160" s="8" t="s">
        <v>109</v>
      </c>
    </row>
    <row r="162" spans="14:18" ht="12.75">
      <c r="N162" s="8" t="s">
        <v>128</v>
      </c>
      <c r="O162" s="8" t="s">
        <v>44</v>
      </c>
      <c r="P162" s="2">
        <v>3</v>
      </c>
      <c r="Q162" s="2">
        <v>2.3</v>
      </c>
      <c r="R162" s="2">
        <v>1.9</v>
      </c>
    </row>
    <row r="163" spans="14:18" ht="12.75">
      <c r="N163" s="8" t="s">
        <v>112</v>
      </c>
      <c r="O163" s="8" t="s">
        <v>143</v>
      </c>
      <c r="P163" s="2">
        <v>2.7</v>
      </c>
      <c r="Q163" s="2">
        <v>2</v>
      </c>
      <c r="R163" s="2">
        <v>1.6</v>
      </c>
    </row>
    <row r="164" spans="14:18" ht="12.75">
      <c r="N164" s="8" t="s">
        <v>111</v>
      </c>
      <c r="O164" s="8" t="s">
        <v>90</v>
      </c>
      <c r="P164" s="2">
        <v>2.3</v>
      </c>
      <c r="Q164" s="2">
        <v>1.6</v>
      </c>
      <c r="R164" s="2">
        <v>1.2</v>
      </c>
    </row>
    <row r="165" spans="14:18" ht="12.75">
      <c r="N165" s="8" t="s">
        <v>109</v>
      </c>
      <c r="O165" s="8" t="s">
        <v>88</v>
      </c>
      <c r="P165" s="2">
        <v>1.9</v>
      </c>
      <c r="Q165" s="2">
        <v>1.2</v>
      </c>
      <c r="R165" s="2">
        <v>1</v>
      </c>
    </row>
    <row r="174" ht="12.75">
      <c r="Q174" s="12" t="s">
        <v>144</v>
      </c>
    </row>
    <row r="176" spans="18:20" ht="12.75">
      <c r="R176" s="8" t="s">
        <v>35</v>
      </c>
      <c r="T176" s="8" t="s">
        <v>145</v>
      </c>
    </row>
    <row r="177" spans="14:20" ht="12.75">
      <c r="N177" s="9" t="s">
        <v>146</v>
      </c>
      <c r="R177" s="8" t="s">
        <v>15</v>
      </c>
      <c r="T177" s="13" t="s">
        <v>147</v>
      </c>
    </row>
    <row r="178" ht="12.75">
      <c r="R178" s="8" t="s">
        <v>42</v>
      </c>
    </row>
    <row r="179" spans="18:21" ht="12.75">
      <c r="R179" s="8" t="s">
        <v>148</v>
      </c>
      <c r="U179" s="9" t="s">
        <v>149</v>
      </c>
    </row>
    <row r="180" spans="17:29" ht="12.75">
      <c r="Q180" s="11" t="s">
        <v>150</v>
      </c>
      <c r="S180" s="11" t="s">
        <v>63</v>
      </c>
      <c r="T180" s="11" t="s">
        <v>67</v>
      </c>
      <c r="U180" s="11" t="s">
        <v>151</v>
      </c>
      <c r="V180" s="11" t="s">
        <v>152</v>
      </c>
      <c r="W180" s="11" t="s">
        <v>153</v>
      </c>
      <c r="X180" s="11" t="s">
        <v>154</v>
      </c>
      <c r="Y180" s="11" t="s">
        <v>155</v>
      </c>
      <c r="Z180" s="11" t="s">
        <v>156</v>
      </c>
      <c r="AA180" s="11" t="s">
        <v>157</v>
      </c>
      <c r="AB180" s="11" t="s">
        <v>158</v>
      </c>
      <c r="AC180" s="11" t="s">
        <v>159</v>
      </c>
    </row>
    <row r="181" spans="19:29" ht="12.75">
      <c r="S181" s="5">
        <v>1</v>
      </c>
      <c r="T181" s="5">
        <v>2</v>
      </c>
      <c r="U181" s="5">
        <v>3</v>
      </c>
      <c r="V181" s="5">
        <v>4</v>
      </c>
      <c r="W181" s="5">
        <v>5</v>
      </c>
      <c r="X181" s="5">
        <v>6</v>
      </c>
      <c r="Y181" s="5">
        <v>7</v>
      </c>
      <c r="Z181" s="5">
        <v>8</v>
      </c>
      <c r="AA181" s="5">
        <v>9</v>
      </c>
      <c r="AB181" s="5">
        <v>10</v>
      </c>
      <c r="AC181" s="5">
        <v>11</v>
      </c>
    </row>
    <row r="182" spans="17:29" ht="12.75">
      <c r="Q182" s="11" t="s">
        <v>160</v>
      </c>
      <c r="R182" s="14" t="s">
        <v>161</v>
      </c>
      <c r="S182">
        <v>149</v>
      </c>
      <c r="T182">
        <v>99</v>
      </c>
      <c r="U182">
        <v>74</v>
      </c>
      <c r="V182">
        <v>59</v>
      </c>
      <c r="W182">
        <v>49</v>
      </c>
      <c r="X182">
        <v>42</v>
      </c>
      <c r="Y182">
        <v>36</v>
      </c>
      <c r="Z182">
        <v>32</v>
      </c>
      <c r="AA182">
        <v>29</v>
      </c>
      <c r="AB182">
        <v>19</v>
      </c>
      <c r="AC182">
        <v>14</v>
      </c>
    </row>
    <row r="183" spans="18:29" ht="12.75">
      <c r="R183" s="14" t="s">
        <v>162</v>
      </c>
      <c r="S183">
        <v>236</v>
      </c>
      <c r="T183">
        <v>157</v>
      </c>
      <c r="U183">
        <v>117</v>
      </c>
      <c r="V183">
        <v>93</v>
      </c>
      <c r="W183">
        <v>78</v>
      </c>
      <c r="X183">
        <v>66</v>
      </c>
      <c r="Y183">
        <v>58</v>
      </c>
      <c r="Z183">
        <v>51</v>
      </c>
      <c r="AA183">
        <v>46</v>
      </c>
      <c r="AB183">
        <v>30</v>
      </c>
      <c r="AC183">
        <v>22</v>
      </c>
    </row>
    <row r="184" spans="18:29" ht="12.75">
      <c r="R184" s="14" t="s">
        <v>163</v>
      </c>
      <c r="S184" s="9" t="s">
        <v>164</v>
      </c>
      <c r="T184">
        <v>157</v>
      </c>
      <c r="U184">
        <v>117</v>
      </c>
      <c r="V184">
        <v>93</v>
      </c>
      <c r="W184">
        <v>78</v>
      </c>
      <c r="X184">
        <v>66</v>
      </c>
      <c r="Y184">
        <v>58</v>
      </c>
      <c r="Z184">
        <v>51</v>
      </c>
      <c r="AA184">
        <v>45</v>
      </c>
      <c r="AB184">
        <v>30</v>
      </c>
      <c r="AC184">
        <v>22</v>
      </c>
    </row>
    <row r="185" spans="18:29" ht="12.75">
      <c r="R185" s="14" t="s">
        <v>165</v>
      </c>
      <c r="S185" s="9" t="s">
        <v>164</v>
      </c>
      <c r="T185">
        <v>208</v>
      </c>
      <c r="U185">
        <v>117</v>
      </c>
      <c r="V185">
        <v>93</v>
      </c>
      <c r="W185">
        <v>78</v>
      </c>
      <c r="X185">
        <v>66</v>
      </c>
      <c r="Y185">
        <v>58</v>
      </c>
      <c r="Z185">
        <v>51</v>
      </c>
      <c r="AA185">
        <v>46</v>
      </c>
      <c r="AB185">
        <v>30</v>
      </c>
      <c r="AC185">
        <v>22</v>
      </c>
    </row>
    <row r="186" spans="18:29" ht="12.75">
      <c r="R186" s="14" t="s">
        <v>166</v>
      </c>
      <c r="S186" s="9" t="s">
        <v>164</v>
      </c>
      <c r="T186" s="9" t="s">
        <v>164</v>
      </c>
      <c r="U186">
        <v>156</v>
      </c>
      <c r="V186">
        <v>93</v>
      </c>
      <c r="W186">
        <v>78</v>
      </c>
      <c r="X186">
        <v>66</v>
      </c>
      <c r="Y186">
        <v>58</v>
      </c>
      <c r="Z186">
        <v>51</v>
      </c>
      <c r="AA186">
        <v>46</v>
      </c>
      <c r="AB186">
        <v>30</v>
      </c>
      <c r="AC186">
        <v>22</v>
      </c>
    </row>
    <row r="187" spans="18:29" ht="12.75">
      <c r="R187" s="14" t="s">
        <v>167</v>
      </c>
      <c r="S187" s="9" t="s">
        <v>164</v>
      </c>
      <c r="T187" s="9" t="s">
        <v>164</v>
      </c>
      <c r="U187">
        <v>156</v>
      </c>
      <c r="V187">
        <v>124</v>
      </c>
      <c r="W187">
        <v>78</v>
      </c>
      <c r="X187">
        <v>66</v>
      </c>
      <c r="Y187">
        <v>58</v>
      </c>
      <c r="Z187">
        <v>51</v>
      </c>
      <c r="AA187">
        <v>46</v>
      </c>
      <c r="AB187">
        <v>30</v>
      </c>
      <c r="AC187">
        <v>22</v>
      </c>
    </row>
    <row r="188" spans="18:29" ht="12.75">
      <c r="R188" s="14" t="s">
        <v>168</v>
      </c>
      <c r="S188" s="9" t="s">
        <v>164</v>
      </c>
      <c r="T188" s="9" t="s">
        <v>164</v>
      </c>
      <c r="U188">
        <v>192</v>
      </c>
      <c r="V188">
        <v>124</v>
      </c>
      <c r="W188">
        <v>103</v>
      </c>
      <c r="X188">
        <v>88</v>
      </c>
      <c r="Y188">
        <v>77</v>
      </c>
      <c r="Z188">
        <v>51</v>
      </c>
      <c r="AA188">
        <v>46</v>
      </c>
      <c r="AB188">
        <v>30</v>
      </c>
      <c r="AC188">
        <v>22</v>
      </c>
    </row>
    <row r="189" spans="18:29" ht="12.75">
      <c r="R189" s="14" t="s">
        <v>169</v>
      </c>
      <c r="S189" s="9" t="s">
        <v>164</v>
      </c>
      <c r="T189" s="9" t="s">
        <v>164</v>
      </c>
      <c r="U189">
        <v>227</v>
      </c>
      <c r="V189">
        <v>153</v>
      </c>
      <c r="W189">
        <v>103</v>
      </c>
      <c r="X189">
        <v>88</v>
      </c>
      <c r="Y189">
        <v>77</v>
      </c>
      <c r="Z189">
        <v>51</v>
      </c>
      <c r="AA189">
        <v>46</v>
      </c>
      <c r="AB189">
        <v>30</v>
      </c>
      <c r="AC189">
        <v>22</v>
      </c>
    </row>
    <row r="190" spans="18:29" ht="12.75">
      <c r="R190" s="14" t="s">
        <v>170</v>
      </c>
      <c r="S190" s="9" t="s">
        <v>164</v>
      </c>
      <c r="T190" s="9" t="s">
        <v>164</v>
      </c>
      <c r="U190" s="9" t="s">
        <v>164</v>
      </c>
      <c r="V190">
        <v>181</v>
      </c>
      <c r="W190">
        <v>127</v>
      </c>
      <c r="X190">
        <v>88</v>
      </c>
      <c r="Y190">
        <v>77</v>
      </c>
      <c r="Z190">
        <v>68</v>
      </c>
      <c r="AA190">
        <v>46</v>
      </c>
      <c r="AB190">
        <v>30</v>
      </c>
      <c r="AC190">
        <v>22</v>
      </c>
    </row>
    <row r="191" spans="18:29" ht="12.75">
      <c r="R191" s="14" t="s">
        <v>171</v>
      </c>
      <c r="S191" s="9" t="s">
        <v>164</v>
      </c>
      <c r="T191" s="9" t="s">
        <v>164</v>
      </c>
      <c r="U191" s="9" t="s">
        <v>164</v>
      </c>
      <c r="V191">
        <v>208</v>
      </c>
      <c r="W191">
        <v>127</v>
      </c>
      <c r="X191">
        <v>88</v>
      </c>
      <c r="Y191">
        <v>77</v>
      </c>
      <c r="Z191">
        <v>68</v>
      </c>
      <c r="AA191">
        <v>61</v>
      </c>
      <c r="AB191">
        <v>30</v>
      </c>
      <c r="AC191">
        <v>22</v>
      </c>
    </row>
    <row r="192" spans="18:29" ht="12.75">
      <c r="R192" s="14" t="s">
        <v>172</v>
      </c>
      <c r="S192" s="9" t="s">
        <v>164</v>
      </c>
      <c r="T192" s="9" t="s">
        <v>164</v>
      </c>
      <c r="U192" s="9" t="s">
        <v>164</v>
      </c>
      <c r="V192" s="9" t="s">
        <v>164</v>
      </c>
      <c r="W192">
        <v>150</v>
      </c>
      <c r="X192">
        <v>109</v>
      </c>
      <c r="Y192">
        <v>77</v>
      </c>
      <c r="Z192">
        <v>68</v>
      </c>
      <c r="AA192">
        <v>61</v>
      </c>
      <c r="AB192">
        <v>30</v>
      </c>
      <c r="AC192">
        <v>22</v>
      </c>
    </row>
    <row r="193" spans="18:29" ht="12.75">
      <c r="R193" s="14" t="s">
        <v>173</v>
      </c>
      <c r="S193" s="9" t="s">
        <v>164</v>
      </c>
      <c r="T193" s="9" t="s">
        <v>164</v>
      </c>
      <c r="U193" s="9" t="s">
        <v>164</v>
      </c>
      <c r="V193" s="9" t="s">
        <v>164</v>
      </c>
      <c r="W193">
        <v>173</v>
      </c>
      <c r="X193">
        <v>109</v>
      </c>
      <c r="Y193">
        <v>95</v>
      </c>
      <c r="Z193">
        <v>68</v>
      </c>
      <c r="AA193">
        <v>61</v>
      </c>
      <c r="AB193">
        <v>30</v>
      </c>
      <c r="AC193">
        <v>22</v>
      </c>
    </row>
    <row r="194" spans="18:29" ht="12.75">
      <c r="R194" s="14" t="s">
        <v>174</v>
      </c>
      <c r="S194" s="9" t="s">
        <v>164</v>
      </c>
      <c r="T194" s="9" t="s">
        <v>164</v>
      </c>
      <c r="U194" s="9" t="s">
        <v>164</v>
      </c>
      <c r="V194" s="9" t="s">
        <v>164</v>
      </c>
      <c r="W194">
        <v>195</v>
      </c>
      <c r="X194">
        <v>129</v>
      </c>
      <c r="Y194">
        <v>95</v>
      </c>
      <c r="Z194">
        <v>84</v>
      </c>
      <c r="AA194">
        <v>61</v>
      </c>
      <c r="AB194">
        <v>30</v>
      </c>
      <c r="AC194">
        <v>22</v>
      </c>
    </row>
    <row r="195" spans="18:29" ht="12.75">
      <c r="R195" s="14" t="s">
        <v>175</v>
      </c>
      <c r="S195" s="9" t="s">
        <v>164</v>
      </c>
      <c r="T195" s="9" t="s">
        <v>164</v>
      </c>
      <c r="U195" s="9" t="s">
        <v>164</v>
      </c>
      <c r="V195" s="9" t="s">
        <v>164</v>
      </c>
      <c r="W195" s="9" t="s">
        <v>164</v>
      </c>
      <c r="X195">
        <v>148</v>
      </c>
      <c r="Y195">
        <v>112</v>
      </c>
      <c r="Z195">
        <v>84</v>
      </c>
      <c r="AA195">
        <v>61</v>
      </c>
      <c r="AB195">
        <v>40</v>
      </c>
      <c r="AC195">
        <v>22</v>
      </c>
    </row>
    <row r="196" spans="18:29" ht="12.75">
      <c r="R196" s="14" t="s">
        <v>176</v>
      </c>
      <c r="S196" s="9" t="s">
        <v>164</v>
      </c>
      <c r="T196" s="9" t="s">
        <v>164</v>
      </c>
      <c r="U196" s="9" t="s">
        <v>164</v>
      </c>
      <c r="V196" s="9" t="s">
        <v>164</v>
      </c>
      <c r="W196" s="9" t="s">
        <v>164</v>
      </c>
      <c r="X196">
        <v>167</v>
      </c>
      <c r="Y196">
        <v>112</v>
      </c>
      <c r="Z196">
        <v>84</v>
      </c>
      <c r="AA196">
        <v>76</v>
      </c>
      <c r="AB196">
        <v>40</v>
      </c>
      <c r="AC196">
        <v>22</v>
      </c>
    </row>
    <row r="197" spans="18:29" ht="12.75">
      <c r="R197" s="14" t="s">
        <v>177</v>
      </c>
      <c r="S197" s="9" t="s">
        <v>164</v>
      </c>
      <c r="T197" s="9" t="s">
        <v>164</v>
      </c>
      <c r="U197" s="9" t="s">
        <v>164</v>
      </c>
      <c r="V197" s="9" t="s">
        <v>164</v>
      </c>
      <c r="W197" s="9" t="s">
        <v>164</v>
      </c>
      <c r="X197">
        <v>185</v>
      </c>
      <c r="Y197">
        <v>129</v>
      </c>
      <c r="Z197">
        <v>100</v>
      </c>
      <c r="AA197">
        <v>76</v>
      </c>
      <c r="AB197">
        <v>40</v>
      </c>
      <c r="AC197">
        <v>22</v>
      </c>
    </row>
    <row r="198" spans="18:29" ht="12.75">
      <c r="R198" s="14" t="s">
        <v>178</v>
      </c>
      <c r="S198" s="9" t="s">
        <v>164</v>
      </c>
      <c r="T198" s="9" t="s">
        <v>164</v>
      </c>
      <c r="U198" s="9" t="s">
        <v>164</v>
      </c>
      <c r="V198" s="9" t="s">
        <v>164</v>
      </c>
      <c r="W198" s="9" t="s">
        <v>164</v>
      </c>
      <c r="X198" s="9" t="s">
        <v>164</v>
      </c>
      <c r="Y198">
        <v>146</v>
      </c>
      <c r="Z198">
        <v>100</v>
      </c>
      <c r="AA198">
        <v>89</v>
      </c>
      <c r="AB198">
        <v>40</v>
      </c>
      <c r="AC198">
        <v>22</v>
      </c>
    </row>
    <row r="199" spans="18:29" ht="12.75">
      <c r="R199" s="14" t="s">
        <v>179</v>
      </c>
      <c r="S199" s="9" t="s">
        <v>164</v>
      </c>
      <c r="T199" s="9" t="s">
        <v>164</v>
      </c>
      <c r="U199" s="9" t="s">
        <v>164</v>
      </c>
      <c r="V199" s="9" t="s">
        <v>164</v>
      </c>
      <c r="W199" s="9" t="s">
        <v>164</v>
      </c>
      <c r="X199" s="9" t="s">
        <v>164</v>
      </c>
      <c r="Y199" s="9" t="s">
        <v>164</v>
      </c>
      <c r="Z199">
        <v>158</v>
      </c>
      <c r="AA199">
        <v>116</v>
      </c>
      <c r="AB199">
        <v>40</v>
      </c>
      <c r="AC199">
        <v>30</v>
      </c>
    </row>
    <row r="200" spans="18:29" ht="12.75">
      <c r="R200" s="14" t="s">
        <v>180</v>
      </c>
      <c r="S200" s="9" t="s">
        <v>164</v>
      </c>
      <c r="T200" s="9" t="s">
        <v>164</v>
      </c>
      <c r="U200" s="9" t="s">
        <v>164</v>
      </c>
      <c r="V200" s="9" t="s">
        <v>164</v>
      </c>
      <c r="W200" s="9" t="s">
        <v>164</v>
      </c>
      <c r="X200" s="9" t="s">
        <v>164</v>
      </c>
      <c r="Y200" s="9" t="s">
        <v>164</v>
      </c>
      <c r="Z200" s="9" t="s">
        <v>164</v>
      </c>
      <c r="AA200">
        <v>179</v>
      </c>
      <c r="AB200">
        <v>50</v>
      </c>
      <c r="AC200">
        <v>30</v>
      </c>
    </row>
    <row r="201" spans="18:29" ht="12.75">
      <c r="R201" s="14" t="s">
        <v>181</v>
      </c>
      <c r="S201" s="9" t="s">
        <v>164</v>
      </c>
      <c r="T201" s="9" t="s">
        <v>164</v>
      </c>
      <c r="U201" s="9" t="s">
        <v>164</v>
      </c>
      <c r="V201" s="9" t="s">
        <v>164</v>
      </c>
      <c r="W201" s="9" t="s">
        <v>164</v>
      </c>
      <c r="X201" s="9" t="s">
        <v>164</v>
      </c>
      <c r="Y201" s="9" t="s">
        <v>164</v>
      </c>
      <c r="Z201" s="9" t="s">
        <v>164</v>
      </c>
      <c r="AA201" s="9" t="s">
        <v>164</v>
      </c>
      <c r="AB201">
        <v>68</v>
      </c>
      <c r="AC201">
        <v>37</v>
      </c>
    </row>
    <row r="203" ht="12.75">
      <c r="R203" s="25"/>
    </row>
    <row r="205" ht="12.75">
      <c r="Q205" s="12" t="s">
        <v>182</v>
      </c>
    </row>
    <row r="207" spans="18:20" ht="12.75">
      <c r="R207" s="9" t="s">
        <v>35</v>
      </c>
      <c r="T207" s="8" t="s">
        <v>145</v>
      </c>
    </row>
    <row r="208" spans="18:20" ht="12.75">
      <c r="R208" s="9" t="s">
        <v>15</v>
      </c>
      <c r="T208" s="13" t="s">
        <v>183</v>
      </c>
    </row>
    <row r="209" spans="14:18" ht="12.75">
      <c r="N209" s="9" t="s">
        <v>184</v>
      </c>
      <c r="R209" s="9" t="s">
        <v>42</v>
      </c>
    </row>
    <row r="210" spans="18:21" ht="12.75">
      <c r="R210" s="9" t="s">
        <v>185</v>
      </c>
      <c r="U210" s="8" t="s">
        <v>149</v>
      </c>
    </row>
    <row r="211" spans="17:29" ht="12.75">
      <c r="Q211" s="11" t="s">
        <v>186</v>
      </c>
      <c r="S211" s="11" t="s">
        <v>63</v>
      </c>
      <c r="T211" s="11" t="s">
        <v>67</v>
      </c>
      <c r="U211" s="11" t="s">
        <v>151</v>
      </c>
      <c r="V211" s="11" t="s">
        <v>152</v>
      </c>
      <c r="W211" s="11" t="s">
        <v>153</v>
      </c>
      <c r="X211" s="11" t="s">
        <v>154</v>
      </c>
      <c r="Y211" s="11" t="s">
        <v>155</v>
      </c>
      <c r="Z211" s="11" t="s">
        <v>156</v>
      </c>
      <c r="AA211" s="11" t="s">
        <v>157</v>
      </c>
      <c r="AB211" s="11" t="s">
        <v>158</v>
      </c>
      <c r="AC211" s="11" t="s">
        <v>159</v>
      </c>
    </row>
    <row r="212" spans="19:29" ht="12.75">
      <c r="S212" s="5">
        <v>1</v>
      </c>
      <c r="T212" s="5">
        <v>2</v>
      </c>
      <c r="U212" s="5">
        <v>3</v>
      </c>
      <c r="V212" s="5">
        <v>4</v>
      </c>
      <c r="W212" s="5">
        <v>5</v>
      </c>
      <c r="X212" s="5">
        <v>6</v>
      </c>
      <c r="Y212" s="5">
        <v>7</v>
      </c>
      <c r="Z212" s="5">
        <v>8</v>
      </c>
      <c r="AA212" s="5">
        <v>9</v>
      </c>
      <c r="AB212" s="5">
        <v>10</v>
      </c>
      <c r="AC212" s="5">
        <v>11</v>
      </c>
    </row>
    <row r="213" spans="17:29" ht="12.75">
      <c r="Q213" s="11" t="s">
        <v>187</v>
      </c>
      <c r="R213" s="14" t="s">
        <v>161</v>
      </c>
      <c r="S213">
        <v>114</v>
      </c>
      <c r="T213">
        <v>76</v>
      </c>
      <c r="U213">
        <v>57</v>
      </c>
      <c r="V213">
        <v>45</v>
      </c>
      <c r="W213">
        <v>38</v>
      </c>
      <c r="X213">
        <v>32</v>
      </c>
      <c r="Y213">
        <v>28</v>
      </c>
      <c r="Z213">
        <v>25</v>
      </c>
      <c r="AA213">
        <v>22</v>
      </c>
      <c r="AB213">
        <v>15</v>
      </c>
      <c r="AC213">
        <v>11</v>
      </c>
    </row>
    <row r="214" spans="18:29" ht="12.75">
      <c r="R214" s="14" t="s">
        <v>162</v>
      </c>
      <c r="S214">
        <v>194</v>
      </c>
      <c r="T214">
        <v>129</v>
      </c>
      <c r="U214">
        <v>96</v>
      </c>
      <c r="V214">
        <v>77</v>
      </c>
      <c r="W214">
        <v>64</v>
      </c>
      <c r="X214">
        <v>55</v>
      </c>
      <c r="Y214">
        <v>48</v>
      </c>
      <c r="Z214">
        <v>42</v>
      </c>
      <c r="AA214">
        <v>38</v>
      </c>
      <c r="AB214">
        <v>25</v>
      </c>
      <c r="AC214">
        <v>18</v>
      </c>
    </row>
    <row r="215" spans="18:29" ht="12.75">
      <c r="R215" s="14" t="s">
        <v>163</v>
      </c>
      <c r="S215">
        <v>194</v>
      </c>
      <c r="T215">
        <v>129</v>
      </c>
      <c r="U215">
        <v>96</v>
      </c>
      <c r="V215">
        <v>77</v>
      </c>
      <c r="W215">
        <v>64</v>
      </c>
      <c r="X215">
        <v>55</v>
      </c>
      <c r="Y215">
        <v>48</v>
      </c>
      <c r="Z215">
        <v>42</v>
      </c>
      <c r="AA215">
        <v>38</v>
      </c>
      <c r="AB215">
        <v>25</v>
      </c>
      <c r="AC215">
        <v>18</v>
      </c>
    </row>
    <row r="216" spans="18:29" ht="12.75">
      <c r="R216" s="14" t="s">
        <v>165</v>
      </c>
      <c r="S216">
        <v>265</v>
      </c>
      <c r="T216">
        <v>129</v>
      </c>
      <c r="U216">
        <v>96</v>
      </c>
      <c r="V216">
        <v>77</v>
      </c>
      <c r="W216">
        <v>64</v>
      </c>
      <c r="X216">
        <v>55</v>
      </c>
      <c r="Y216">
        <v>48</v>
      </c>
      <c r="Z216">
        <v>42</v>
      </c>
      <c r="AA216">
        <v>38</v>
      </c>
      <c r="AB216">
        <v>25</v>
      </c>
      <c r="AC216">
        <v>18</v>
      </c>
    </row>
    <row r="217" spans="18:29" ht="12.75">
      <c r="R217" s="14" t="s">
        <v>166</v>
      </c>
      <c r="S217" s="9" t="s">
        <v>164</v>
      </c>
      <c r="T217">
        <v>176</v>
      </c>
      <c r="U217">
        <v>96</v>
      </c>
      <c r="V217">
        <v>77</v>
      </c>
      <c r="W217">
        <v>64</v>
      </c>
      <c r="X217">
        <v>55</v>
      </c>
      <c r="Y217">
        <v>48</v>
      </c>
      <c r="Z217">
        <v>42</v>
      </c>
      <c r="AA217">
        <v>38</v>
      </c>
      <c r="AB217">
        <v>25</v>
      </c>
      <c r="AC217">
        <v>18</v>
      </c>
    </row>
    <row r="218" spans="18:29" ht="12.75">
      <c r="R218" s="14" t="s">
        <v>167</v>
      </c>
      <c r="S218" s="9" t="s">
        <v>164</v>
      </c>
      <c r="T218">
        <v>221</v>
      </c>
      <c r="U218">
        <v>132</v>
      </c>
      <c r="V218">
        <v>77</v>
      </c>
      <c r="W218">
        <v>64</v>
      </c>
      <c r="X218">
        <v>55</v>
      </c>
      <c r="Y218">
        <v>48</v>
      </c>
      <c r="Z218">
        <v>42</v>
      </c>
      <c r="AA218">
        <v>38</v>
      </c>
      <c r="AB218">
        <v>25</v>
      </c>
      <c r="AC218">
        <v>18</v>
      </c>
    </row>
    <row r="219" spans="18:29" ht="12.75">
      <c r="R219" s="14" t="s">
        <v>168</v>
      </c>
      <c r="S219" s="9" t="s">
        <v>164</v>
      </c>
      <c r="T219" s="9" t="s">
        <v>164</v>
      </c>
      <c r="U219">
        <v>132</v>
      </c>
      <c r="V219">
        <v>105</v>
      </c>
      <c r="W219">
        <v>64</v>
      </c>
      <c r="X219">
        <v>55</v>
      </c>
      <c r="Y219">
        <v>48</v>
      </c>
      <c r="Z219">
        <v>42</v>
      </c>
      <c r="AA219">
        <v>38</v>
      </c>
      <c r="AB219">
        <v>25</v>
      </c>
      <c r="AC219">
        <v>18</v>
      </c>
    </row>
    <row r="220" spans="18:29" ht="12.75">
      <c r="R220" s="14" t="s">
        <v>169</v>
      </c>
      <c r="S220" s="9" t="s">
        <v>164</v>
      </c>
      <c r="T220" s="9" t="s">
        <v>164</v>
      </c>
      <c r="U220">
        <v>166</v>
      </c>
      <c r="V220">
        <v>105</v>
      </c>
      <c r="W220">
        <v>88</v>
      </c>
      <c r="X220">
        <v>55</v>
      </c>
      <c r="Y220">
        <v>48</v>
      </c>
      <c r="Z220">
        <v>42</v>
      </c>
      <c r="AA220">
        <v>38</v>
      </c>
      <c r="AB220">
        <v>25</v>
      </c>
      <c r="AC220">
        <v>18</v>
      </c>
    </row>
    <row r="221" spans="18:29" ht="12.75">
      <c r="R221" s="14" t="s">
        <v>170</v>
      </c>
      <c r="S221" s="9" t="s">
        <v>164</v>
      </c>
      <c r="T221" s="9" t="s">
        <v>164</v>
      </c>
      <c r="U221" s="9" t="s">
        <v>164</v>
      </c>
      <c r="V221">
        <v>132</v>
      </c>
      <c r="W221">
        <v>88</v>
      </c>
      <c r="X221">
        <v>75</v>
      </c>
      <c r="Y221">
        <v>48</v>
      </c>
      <c r="Z221">
        <v>42</v>
      </c>
      <c r="AA221">
        <v>38</v>
      </c>
      <c r="AB221">
        <v>25</v>
      </c>
      <c r="AC221">
        <v>18</v>
      </c>
    </row>
    <row r="222" spans="18:29" ht="12.75">
      <c r="R222" s="14" t="s">
        <v>171</v>
      </c>
      <c r="S222" s="9" t="s">
        <v>164</v>
      </c>
      <c r="T222" s="9" t="s">
        <v>164</v>
      </c>
      <c r="U222" s="9" t="s">
        <v>164</v>
      </c>
      <c r="V222">
        <v>132</v>
      </c>
      <c r="W222">
        <v>88</v>
      </c>
      <c r="X222">
        <v>75</v>
      </c>
      <c r="Y222">
        <v>65</v>
      </c>
      <c r="Z222">
        <v>42</v>
      </c>
      <c r="AA222">
        <v>38</v>
      </c>
      <c r="AB222">
        <v>25</v>
      </c>
      <c r="AC222">
        <v>18</v>
      </c>
    </row>
    <row r="223" spans="18:29" ht="12.75">
      <c r="R223" s="14" t="s">
        <v>172</v>
      </c>
      <c r="S223" s="9" t="s">
        <v>164</v>
      </c>
      <c r="T223" s="9" t="s">
        <v>164</v>
      </c>
      <c r="U223" s="9" t="s">
        <v>164</v>
      </c>
      <c r="V223">
        <v>158</v>
      </c>
      <c r="W223">
        <v>110</v>
      </c>
      <c r="X223">
        <v>75</v>
      </c>
      <c r="Y223">
        <v>65</v>
      </c>
      <c r="Z223">
        <v>58</v>
      </c>
      <c r="AA223">
        <v>38</v>
      </c>
      <c r="AB223">
        <v>25</v>
      </c>
      <c r="AC223">
        <v>18</v>
      </c>
    </row>
    <row r="224" spans="18:29" ht="12.75">
      <c r="R224" s="14" t="s">
        <v>173</v>
      </c>
      <c r="S224" s="9" t="s">
        <v>164</v>
      </c>
      <c r="T224" s="9" t="s">
        <v>164</v>
      </c>
      <c r="U224" s="9" t="s">
        <v>164</v>
      </c>
      <c r="V224">
        <v>209</v>
      </c>
      <c r="W224">
        <v>132</v>
      </c>
      <c r="X224">
        <v>94</v>
      </c>
      <c r="Y224">
        <v>65</v>
      </c>
      <c r="Z224">
        <v>58</v>
      </c>
      <c r="AA224">
        <v>52</v>
      </c>
      <c r="AB224">
        <v>25</v>
      </c>
      <c r="AC224">
        <v>18</v>
      </c>
    </row>
    <row r="225" spans="18:29" ht="12.75">
      <c r="R225" s="14" t="s">
        <v>174</v>
      </c>
      <c r="S225" s="9" t="s">
        <v>164</v>
      </c>
      <c r="T225" s="9" t="s">
        <v>164</v>
      </c>
      <c r="U225" s="9" t="s">
        <v>164</v>
      </c>
      <c r="V225" s="9" t="s">
        <v>164</v>
      </c>
      <c r="W225">
        <v>132</v>
      </c>
      <c r="X225">
        <v>94</v>
      </c>
      <c r="Y225">
        <v>65</v>
      </c>
      <c r="Z225">
        <v>58</v>
      </c>
      <c r="AA225">
        <v>52</v>
      </c>
      <c r="AB225">
        <v>25</v>
      </c>
      <c r="AC225">
        <v>18</v>
      </c>
    </row>
    <row r="226" spans="18:29" ht="12.75">
      <c r="R226" s="14" t="s">
        <v>175</v>
      </c>
      <c r="S226" s="9" t="s">
        <v>164</v>
      </c>
      <c r="T226" s="9" t="s">
        <v>164</v>
      </c>
      <c r="U226" s="9" t="s">
        <v>164</v>
      </c>
      <c r="V226" s="9" t="s">
        <v>164</v>
      </c>
      <c r="W226">
        <v>153</v>
      </c>
      <c r="X226">
        <v>113</v>
      </c>
      <c r="Y226">
        <v>82</v>
      </c>
      <c r="Z226">
        <v>58</v>
      </c>
      <c r="AA226">
        <v>52</v>
      </c>
      <c r="AB226">
        <v>25</v>
      </c>
      <c r="AC226">
        <v>18</v>
      </c>
    </row>
    <row r="227" spans="18:29" ht="12.75">
      <c r="R227" s="14" t="s">
        <v>176</v>
      </c>
      <c r="S227" s="9" t="s">
        <v>164</v>
      </c>
      <c r="T227" s="9" t="s">
        <v>164</v>
      </c>
      <c r="U227" s="9" t="s">
        <v>164</v>
      </c>
      <c r="V227" s="9" t="s">
        <v>164</v>
      </c>
      <c r="W227">
        <v>194</v>
      </c>
      <c r="X227">
        <v>113</v>
      </c>
      <c r="Y227">
        <v>82</v>
      </c>
      <c r="Z227">
        <v>73</v>
      </c>
      <c r="AA227">
        <v>52</v>
      </c>
      <c r="AB227">
        <v>25</v>
      </c>
      <c r="AC227">
        <v>18</v>
      </c>
    </row>
    <row r="228" spans="18:29" ht="12.75">
      <c r="R228" s="14" t="s">
        <v>177</v>
      </c>
      <c r="S228" s="9" t="s">
        <v>164</v>
      </c>
      <c r="T228" s="9" t="s">
        <v>164</v>
      </c>
      <c r="U228" s="9" t="s">
        <v>164</v>
      </c>
      <c r="V228" s="9" t="s">
        <v>164</v>
      </c>
      <c r="W228" s="9" t="s">
        <v>164</v>
      </c>
      <c r="X228">
        <v>131</v>
      </c>
      <c r="Y228">
        <v>98</v>
      </c>
      <c r="Z228">
        <v>73</v>
      </c>
      <c r="AA228">
        <v>52</v>
      </c>
      <c r="AB228">
        <v>25</v>
      </c>
      <c r="AC228">
        <v>18</v>
      </c>
    </row>
    <row r="229" spans="18:29" ht="12.75">
      <c r="R229" s="14" t="s">
        <v>178</v>
      </c>
      <c r="S229" s="9" t="s">
        <v>164</v>
      </c>
      <c r="T229" s="9" t="s">
        <v>164</v>
      </c>
      <c r="U229" s="9" t="s">
        <v>164</v>
      </c>
      <c r="V229" s="9" t="s">
        <v>164</v>
      </c>
      <c r="W229" s="9" t="s">
        <v>164</v>
      </c>
      <c r="X229">
        <v>149</v>
      </c>
      <c r="Y229">
        <v>98</v>
      </c>
      <c r="Z229">
        <v>73</v>
      </c>
      <c r="AA229">
        <v>65</v>
      </c>
      <c r="AB229">
        <v>25</v>
      </c>
      <c r="AC229">
        <v>18</v>
      </c>
    </row>
    <row r="230" spans="18:29" ht="12.75">
      <c r="R230" s="14" t="s">
        <v>179</v>
      </c>
      <c r="S230" s="9" t="s">
        <v>164</v>
      </c>
      <c r="T230" s="9" t="s">
        <v>164</v>
      </c>
      <c r="U230" s="9" t="s">
        <v>164</v>
      </c>
      <c r="V230" s="9" t="s">
        <v>164</v>
      </c>
      <c r="W230" s="9" t="s">
        <v>164</v>
      </c>
      <c r="X230" s="9" t="s">
        <v>164</v>
      </c>
      <c r="Y230">
        <v>160</v>
      </c>
      <c r="Z230">
        <v>115</v>
      </c>
      <c r="AA230">
        <v>78</v>
      </c>
      <c r="AB230">
        <v>34</v>
      </c>
      <c r="AC230">
        <v>18</v>
      </c>
    </row>
    <row r="231" spans="18:29" ht="12.75">
      <c r="R231" s="14" t="s">
        <v>180</v>
      </c>
      <c r="S231" s="9" t="s">
        <v>164</v>
      </c>
      <c r="T231" s="9" t="s">
        <v>164</v>
      </c>
      <c r="U231" s="9" t="s">
        <v>164</v>
      </c>
      <c r="V231" s="9" t="s">
        <v>164</v>
      </c>
      <c r="W231" s="9" t="s">
        <v>164</v>
      </c>
      <c r="X231" s="9" t="s">
        <v>164</v>
      </c>
      <c r="Y231" s="9" t="s">
        <v>164</v>
      </c>
      <c r="Z231">
        <v>182</v>
      </c>
      <c r="AA231">
        <v>116</v>
      </c>
      <c r="AB231">
        <v>43</v>
      </c>
      <c r="AC231">
        <v>25</v>
      </c>
    </row>
    <row r="232" spans="18:29" ht="12.75">
      <c r="R232" s="14" t="s">
        <v>181</v>
      </c>
      <c r="S232" s="9" t="s">
        <v>164</v>
      </c>
      <c r="T232" s="9" t="s">
        <v>164</v>
      </c>
      <c r="U232" s="9" t="s">
        <v>164</v>
      </c>
      <c r="V232" s="9" t="s">
        <v>164</v>
      </c>
      <c r="W232" s="9" t="s">
        <v>164</v>
      </c>
      <c r="X232" s="9" t="s">
        <v>164</v>
      </c>
      <c r="Y232" s="9" t="s">
        <v>164</v>
      </c>
      <c r="Z232" s="9" t="s">
        <v>164</v>
      </c>
      <c r="AA232">
        <v>199</v>
      </c>
      <c r="AB232">
        <v>52</v>
      </c>
      <c r="AC232">
        <v>25</v>
      </c>
    </row>
    <row r="235" spans="14:15" ht="12.75">
      <c r="N235" s="11" t="s">
        <v>188</v>
      </c>
      <c r="O235" t="e">
        <f>IF($IM$68=5,1,IF($IM$68=10,2,NA()))</f>
        <v>#N/A</v>
      </c>
    </row>
    <row r="237" ht="12.75">
      <c r="N237" s="9" t="s">
        <v>189</v>
      </c>
    </row>
    <row r="239" ht="12.75">
      <c r="O239" s="8" t="s">
        <v>190</v>
      </c>
    </row>
    <row r="240" spans="14:15" ht="12.75">
      <c r="N240" s="11" t="s">
        <v>191</v>
      </c>
      <c r="O240" s="8" t="s">
        <v>192</v>
      </c>
    </row>
    <row r="241" spans="14:16" ht="12.75">
      <c r="N241" s="11" t="s">
        <v>193</v>
      </c>
      <c r="O241">
        <v>5</v>
      </c>
      <c r="P241">
        <v>10</v>
      </c>
    </row>
    <row r="242" spans="15:17" ht="12.75">
      <c r="O242" s="5">
        <v>1</v>
      </c>
      <c r="P242" s="5">
        <v>2</v>
      </c>
      <c r="Q242" s="15" t="s">
        <v>194</v>
      </c>
    </row>
    <row r="243" ht="12.75">
      <c r="N243" s="9" t="s">
        <v>195</v>
      </c>
    </row>
    <row r="244" spans="14:16" ht="12.75">
      <c r="N244">
        <v>0</v>
      </c>
      <c r="O244" s="2">
        <v>3</v>
      </c>
      <c r="P244" s="2">
        <v>2.4</v>
      </c>
    </row>
    <row r="245" spans="14:16" ht="12.75">
      <c r="N245">
        <v>1</v>
      </c>
      <c r="O245" s="2">
        <v>4.8</v>
      </c>
      <c r="P245" s="2">
        <v>3.9</v>
      </c>
    </row>
    <row r="246" spans="14:16" ht="12.75">
      <c r="N246">
        <v>2</v>
      </c>
      <c r="O246" s="2">
        <v>6.3</v>
      </c>
      <c r="P246" s="2">
        <v>5.4</v>
      </c>
    </row>
    <row r="247" spans="14:16" ht="12.75">
      <c r="N247">
        <v>3</v>
      </c>
      <c r="O247" s="2">
        <v>7.82</v>
      </c>
      <c r="P247" s="2">
        <v>6.7</v>
      </c>
    </row>
    <row r="248" spans="14:16" ht="12.75">
      <c r="N248">
        <v>4</v>
      </c>
      <c r="O248" s="2">
        <v>9.2</v>
      </c>
      <c r="P248" s="2">
        <v>8</v>
      </c>
    </row>
    <row r="249" spans="14:16" ht="12.75">
      <c r="N249">
        <v>5</v>
      </c>
      <c r="O249" s="2">
        <v>10.6</v>
      </c>
      <c r="P249" s="2">
        <v>9.3</v>
      </c>
    </row>
    <row r="250" spans="14:16" ht="12.75">
      <c r="N250">
        <v>6</v>
      </c>
      <c r="O250" s="2">
        <v>11.9</v>
      </c>
      <c r="P250" s="2">
        <v>10.6</v>
      </c>
    </row>
    <row r="251" spans="14:16" ht="12.75">
      <c r="N251">
        <v>7</v>
      </c>
      <c r="O251" s="2">
        <v>13.2</v>
      </c>
      <c r="P251" s="2">
        <v>11.8</v>
      </c>
    </row>
    <row r="252" spans="14:16" ht="12.75">
      <c r="N252">
        <v>8</v>
      </c>
      <c r="O252" s="2">
        <v>14.5</v>
      </c>
      <c r="P252" s="2">
        <v>13</v>
      </c>
    </row>
    <row r="253" spans="14:16" ht="12.75">
      <c r="N253">
        <v>9</v>
      </c>
      <c r="O253" s="2">
        <v>16</v>
      </c>
      <c r="P253" s="2">
        <v>14.3</v>
      </c>
    </row>
    <row r="254" spans="14:16" ht="12.75">
      <c r="N254">
        <v>10</v>
      </c>
      <c r="O254" s="2">
        <v>17</v>
      </c>
      <c r="P254" s="2">
        <v>15.5</v>
      </c>
    </row>
    <row r="255" spans="14:16" ht="12.75">
      <c r="N255">
        <v>11</v>
      </c>
      <c r="O255" s="2">
        <v>18.3</v>
      </c>
      <c r="P255" s="2">
        <v>16.7</v>
      </c>
    </row>
    <row r="256" spans="14:16" ht="12.75">
      <c r="N256">
        <v>12</v>
      </c>
      <c r="O256" s="2">
        <v>19.5</v>
      </c>
      <c r="P256" s="2">
        <v>18</v>
      </c>
    </row>
    <row r="257" spans="14:16" ht="12.75">
      <c r="N257">
        <v>13</v>
      </c>
      <c r="O257" s="2">
        <v>21</v>
      </c>
      <c r="P257" s="2">
        <v>19</v>
      </c>
    </row>
    <row r="258" spans="14:16" ht="12.75">
      <c r="N258">
        <v>14</v>
      </c>
      <c r="O258" s="2">
        <v>22</v>
      </c>
      <c r="P258" s="2">
        <v>20.2</v>
      </c>
    </row>
    <row r="259" spans="14:16" ht="12.75">
      <c r="N259">
        <v>15</v>
      </c>
      <c r="O259" s="2">
        <v>23.4</v>
      </c>
      <c r="P259" s="2">
        <v>21.4</v>
      </c>
    </row>
    <row r="260" spans="14:16" ht="12.75">
      <c r="N260">
        <v>16</v>
      </c>
      <c r="O260" s="2">
        <v>24.3</v>
      </c>
      <c r="P260" s="2">
        <v>22.6</v>
      </c>
    </row>
    <row r="261" spans="14:16" ht="12.75">
      <c r="N261">
        <v>17</v>
      </c>
      <c r="O261" s="2">
        <v>26</v>
      </c>
      <c r="P261" s="2">
        <v>23.8</v>
      </c>
    </row>
    <row r="262" spans="14:16" ht="12.75">
      <c r="N262">
        <v>18</v>
      </c>
      <c r="O262" s="2">
        <v>27</v>
      </c>
      <c r="P262" s="2">
        <v>25</v>
      </c>
    </row>
    <row r="263" spans="14:16" ht="12.75">
      <c r="N263">
        <v>19</v>
      </c>
      <c r="O263" s="2">
        <v>28</v>
      </c>
      <c r="P263" s="2">
        <v>26</v>
      </c>
    </row>
    <row r="264" spans="14:16" ht="12.75">
      <c r="N264">
        <v>20</v>
      </c>
      <c r="O264" s="2">
        <v>29</v>
      </c>
      <c r="P264" s="2">
        <v>27.1</v>
      </c>
    </row>
    <row r="265" spans="14:16" ht="12.75">
      <c r="N265">
        <v>21</v>
      </c>
      <c r="O265" s="2">
        <v>30.3</v>
      </c>
      <c r="P265" s="2">
        <v>28.3</v>
      </c>
    </row>
    <row r="266" spans="14:16" ht="12.75">
      <c r="N266">
        <v>22</v>
      </c>
      <c r="O266" s="2">
        <v>31.5</v>
      </c>
      <c r="P266" s="2">
        <v>29.3</v>
      </c>
    </row>
    <row r="267" spans="14:16" ht="12.75">
      <c r="N267">
        <v>23</v>
      </c>
      <c r="O267" s="2">
        <v>32.6</v>
      </c>
      <c r="P267" s="2">
        <v>30.5</v>
      </c>
    </row>
    <row r="268" spans="14:16" ht="12.75">
      <c r="N268">
        <v>24</v>
      </c>
      <c r="O268" s="2">
        <v>33.8</v>
      </c>
      <c r="P268" s="2">
        <v>31.4</v>
      </c>
    </row>
    <row r="269" spans="14:16" ht="12.75">
      <c r="N269">
        <v>25</v>
      </c>
      <c r="O269" s="2">
        <v>35</v>
      </c>
      <c r="P269" s="2">
        <v>32.7</v>
      </c>
    </row>
    <row r="270" spans="14:16" ht="12.75">
      <c r="N270">
        <v>26</v>
      </c>
      <c r="O270" s="2">
        <v>36.1</v>
      </c>
      <c r="P270" s="2">
        <v>35</v>
      </c>
    </row>
    <row r="271" spans="14:16" ht="12.75">
      <c r="N271">
        <v>27</v>
      </c>
      <c r="O271" s="2">
        <v>37.3</v>
      </c>
      <c r="P271" s="2">
        <v>35</v>
      </c>
    </row>
    <row r="272" spans="14:16" ht="12.75">
      <c r="N272">
        <v>28</v>
      </c>
      <c r="O272" s="2">
        <v>38.5</v>
      </c>
      <c r="P272" s="2">
        <v>36.1</v>
      </c>
    </row>
    <row r="273" spans="14:16" ht="12.75">
      <c r="N273">
        <v>29</v>
      </c>
      <c r="O273" s="2">
        <v>39.6</v>
      </c>
      <c r="P273" s="2">
        <v>37.2</v>
      </c>
    </row>
    <row r="274" spans="14:16" ht="12.75">
      <c r="N274">
        <v>30</v>
      </c>
      <c r="O274" s="2">
        <v>40.7</v>
      </c>
      <c r="P274" s="2">
        <v>38.4</v>
      </c>
    </row>
    <row r="275" spans="14:16" ht="12.75">
      <c r="N275">
        <v>31</v>
      </c>
      <c r="O275" s="2">
        <v>42</v>
      </c>
      <c r="P275" s="2">
        <v>39.1</v>
      </c>
    </row>
    <row r="276" spans="14:16" ht="12.75">
      <c r="N276">
        <v>32</v>
      </c>
      <c r="O276" s="2">
        <v>43</v>
      </c>
      <c r="P276" s="2">
        <v>40.3</v>
      </c>
    </row>
    <row r="277" spans="14:16" ht="12.75">
      <c r="N277">
        <v>33</v>
      </c>
      <c r="O277" s="2">
        <v>44.2</v>
      </c>
      <c r="P277" s="2">
        <v>41.5</v>
      </c>
    </row>
    <row r="278" spans="14:16" ht="12.75">
      <c r="N278">
        <v>34</v>
      </c>
      <c r="O278" s="2">
        <v>45.3</v>
      </c>
      <c r="P278" s="2">
        <v>42.7</v>
      </c>
    </row>
    <row r="279" spans="14:16" ht="12.75">
      <c r="N279">
        <v>35</v>
      </c>
      <c r="O279" s="2">
        <v>46.4</v>
      </c>
      <c r="P279" s="2">
        <v>43.8</v>
      </c>
    </row>
    <row r="280" spans="14:16" ht="12.75">
      <c r="N280">
        <v>36</v>
      </c>
      <c r="O280" s="2">
        <v>47.6</v>
      </c>
      <c r="P280" s="2">
        <v>45</v>
      </c>
    </row>
    <row r="281" spans="14:16" ht="12.75">
      <c r="N281">
        <v>37</v>
      </c>
      <c r="O281" s="2">
        <v>48.7</v>
      </c>
      <c r="P281" s="2">
        <v>46.1</v>
      </c>
    </row>
    <row r="282" spans="14:16" ht="12.75">
      <c r="N282">
        <v>38</v>
      </c>
      <c r="O282" s="2">
        <v>49.8</v>
      </c>
      <c r="P282" s="2">
        <v>47.2</v>
      </c>
    </row>
    <row r="283" spans="14:16" ht="12.75">
      <c r="N283">
        <v>39</v>
      </c>
      <c r="O283" s="2">
        <v>51</v>
      </c>
      <c r="P283" s="2">
        <v>48.3</v>
      </c>
    </row>
    <row r="284" spans="14:16" ht="12.75">
      <c r="N284">
        <v>40</v>
      </c>
      <c r="O284" s="2">
        <v>52</v>
      </c>
      <c r="P284" s="2">
        <v>49.4</v>
      </c>
    </row>
    <row r="285" spans="14:16" ht="12.75">
      <c r="N285">
        <v>41</v>
      </c>
      <c r="O285" s="2">
        <v>53.2</v>
      </c>
      <c r="P285" s="2">
        <v>50.5</v>
      </c>
    </row>
    <row r="286" spans="14:16" ht="12.75">
      <c r="N286">
        <v>42</v>
      </c>
      <c r="O286" s="2">
        <v>54.5</v>
      </c>
      <c r="P286" s="2">
        <v>51.6</v>
      </c>
    </row>
    <row r="287" spans="14:16" ht="12.75">
      <c r="N287">
        <v>43</v>
      </c>
      <c r="O287" s="2">
        <v>55.5</v>
      </c>
      <c r="P287" s="2">
        <v>52.6</v>
      </c>
    </row>
    <row r="288" spans="14:16" ht="12.75">
      <c r="N288">
        <v>44</v>
      </c>
      <c r="O288" s="2">
        <v>56.6</v>
      </c>
      <c r="P288" s="2">
        <v>54</v>
      </c>
    </row>
    <row r="289" spans="14:16" ht="12.75">
      <c r="N289">
        <v>45</v>
      </c>
      <c r="O289" s="2">
        <v>57.7</v>
      </c>
      <c r="P289" s="2">
        <v>55</v>
      </c>
    </row>
    <row r="290" spans="14:16" ht="12.75">
      <c r="N290">
        <v>46</v>
      </c>
      <c r="O290" s="2">
        <v>59</v>
      </c>
      <c r="P290" s="2">
        <v>56</v>
      </c>
    </row>
    <row r="291" spans="14:16" ht="12.75">
      <c r="N291">
        <v>47</v>
      </c>
      <c r="O291" s="2">
        <v>60</v>
      </c>
      <c r="P291" s="2">
        <v>57</v>
      </c>
    </row>
    <row r="292" spans="14:16" ht="12.75">
      <c r="N292">
        <v>48</v>
      </c>
      <c r="O292" s="2">
        <v>61.1</v>
      </c>
      <c r="P292" s="2">
        <v>58</v>
      </c>
    </row>
    <row r="293" spans="14:16" ht="12.75">
      <c r="N293">
        <v>49</v>
      </c>
      <c r="O293" s="2">
        <v>62.2</v>
      </c>
      <c r="P293" s="2">
        <v>59.7</v>
      </c>
    </row>
    <row r="294" spans="14:16" ht="12.75">
      <c r="N294">
        <v>50</v>
      </c>
      <c r="O294" s="2">
        <v>63.3</v>
      </c>
      <c r="P294" s="2">
        <v>60.4</v>
      </c>
    </row>
    <row r="295" spans="14:16" ht="12.75">
      <c r="N295">
        <v>51</v>
      </c>
      <c r="O295" s="2">
        <v>64.5</v>
      </c>
      <c r="P295" s="2">
        <v>61.5</v>
      </c>
    </row>
    <row r="296" spans="14:16" ht="12.75">
      <c r="N296">
        <v>51.0001</v>
      </c>
      <c r="O296" s="2" t="e">
        <f>NA()</f>
        <v>#N/A</v>
      </c>
      <c r="P296" s="2" t="e">
        <f>NA()</f>
        <v>#N/A</v>
      </c>
    </row>
    <row r="304" ht="12.75">
      <c r="Q304" s="9" t="s">
        <v>196</v>
      </c>
    </row>
    <row r="305" ht="12.75">
      <c r="Q305" s="9" t="s">
        <v>197</v>
      </c>
    </row>
    <row r="306" spans="17:26" ht="15">
      <c r="Q306" s="9" t="s">
        <v>198</v>
      </c>
      <c r="R306" s="1" t="str">
        <f>FIXED(F35,0,TRUE)</f>
        <v>7</v>
      </c>
      <c r="S306" t="str">
        <f>FIXED(H35,2,TRUE)</f>
        <v>0.00</v>
      </c>
      <c r="T306" s="2">
        <f>VLOOKUP(K35,$N$244:$P$296,IF($J$26=5,1,IF($J$26=10,2,NA()))+1)</f>
        <v>3</v>
      </c>
      <c r="V306" s="23"/>
      <c r="X306" s="1"/>
      <c r="Z306" s="2"/>
    </row>
    <row r="307" spans="17:24" ht="15">
      <c r="Q307" s="9" t="s">
        <v>199</v>
      </c>
      <c r="R307" t="str">
        <f>FIXED(F39,0,TRUE)</f>
        <v>10</v>
      </c>
      <c r="S307" t="str">
        <f>FIXED(H39,2,TRUE)</f>
        <v>0.00</v>
      </c>
      <c r="T307" s="2">
        <f>VLOOKUP(K39,$N$244:$P$296,IF($J$26=5,1,IF($J$26=10,2,NA()))+1)</f>
        <v>3</v>
      </c>
      <c r="V307" s="23"/>
      <c r="X307" s="1"/>
    </row>
    <row r="308" spans="16:22" ht="12.75">
      <c r="P308" s="9" t="s">
        <v>200</v>
      </c>
      <c r="Q308" s="9" t="s">
        <v>201</v>
      </c>
      <c r="R308" t="str">
        <f>FIXED(F43,0,TRUE)</f>
        <v>10</v>
      </c>
      <c r="S308" t="str">
        <f>FIXED(H43,2,TRUE)</f>
        <v>1.00</v>
      </c>
      <c r="T308" s="2">
        <f>VLOOKUP(K43,$N$244:$P$296,IF($J$26=5,1,IF($J$26=10,2,NA()))+1)</f>
        <v>3</v>
      </c>
      <c r="V308" s="29"/>
    </row>
    <row r="310" spans="1:15" ht="15">
      <c r="A310" s="32" t="s">
        <v>202</v>
      </c>
      <c r="G310" s="32" t="s">
        <v>202</v>
      </c>
      <c r="K310" s="32" t="s">
        <v>202</v>
      </c>
      <c r="O310" s="32" t="s">
        <v>202</v>
      </c>
    </row>
  </sheetData>
  <printOptions/>
  <pageMargins left="1" right="0.3" top="0.5" bottom="0.5" header="0.5" footer="0.5"/>
  <pageSetup horizontalDpi="300" verticalDpi="300" orientation="portrait" scale="98" r:id="rId1"/>
  <headerFooter alignWithMargins="0">
    <oddFooter>&amp;CKcnsampl.xlw:1&amp;RPage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K48"/>
  <sheetViews>
    <sheetView tabSelected="1" workbookViewId="0" topLeftCell="A1">
      <selection activeCell="G2" sqref="G2"/>
      <selection activeCell="E3" sqref="E3"/>
    </sheetView>
  </sheetViews>
  <sheetFormatPr defaultColWidth="9.7109375" defaultRowHeight="12.75"/>
  <cols>
    <col min="1" max="1" width="4.7109375" style="0" customWidth="1"/>
    <col min="2" max="3" width="2.7109375" style="0" customWidth="1"/>
    <col min="4" max="4" width="16.7109375" style="0" customWidth="1"/>
    <col min="5" max="5" width="14.7109375" style="0" customWidth="1"/>
    <col min="6" max="6" width="9.7109375" style="0" customWidth="1"/>
    <col min="7" max="7" width="11.7109375" style="0" customWidth="1"/>
    <col min="14" max="21" width="7.7109375" style="0" customWidth="1"/>
  </cols>
  <sheetData>
    <row r="2" spans="8:9" ht="12.75">
      <c r="H2" s="9" t="s">
        <v>1</v>
      </c>
      <c r="I2" s="19" t="s">
        <v>203</v>
      </c>
    </row>
    <row r="3" spans="8:11" ht="15">
      <c r="H3" s="9" t="s">
        <v>204</v>
      </c>
      <c r="I3" s="20" t="s">
        <v>5</v>
      </c>
      <c r="K3" s="9"/>
    </row>
    <row r="4" spans="1:11" ht="12.75">
      <c r="A4" s="29"/>
      <c r="H4" s="9" t="s">
        <v>7</v>
      </c>
      <c r="I4" s="21" t="s">
        <v>205</v>
      </c>
      <c r="K4" s="9"/>
    </row>
    <row r="5" spans="2:11" ht="12.75">
      <c r="B5" s="17" t="s">
        <v>0</v>
      </c>
      <c r="C5" s="18"/>
      <c r="D5" s="18"/>
      <c r="E5" s="18"/>
      <c r="F5" s="18"/>
      <c r="G5" s="18"/>
      <c r="K5" s="9"/>
    </row>
    <row r="6" spans="2:7" ht="12.75">
      <c r="B6" s="17" t="s">
        <v>206</v>
      </c>
      <c r="C6" s="18"/>
      <c r="D6" s="18"/>
      <c r="E6" s="18"/>
      <c r="F6" s="18"/>
      <c r="G6" s="18"/>
    </row>
    <row r="7" spans="2:11" ht="12.75">
      <c r="B7" s="17" t="s">
        <v>334</v>
      </c>
      <c r="C7" s="18"/>
      <c r="D7" s="18"/>
      <c r="E7" s="18"/>
      <c r="F7" s="18"/>
      <c r="G7" s="18"/>
      <c r="J7" s="18"/>
      <c r="K7" s="18"/>
    </row>
    <row r="8" spans="2:9" ht="12.75">
      <c r="B8" s="48"/>
      <c r="C8" s="48"/>
      <c r="D8" s="48"/>
      <c r="E8" s="48"/>
      <c r="F8" s="48"/>
      <c r="G8" s="48"/>
      <c r="H8" s="48"/>
      <c r="I8" s="48"/>
    </row>
    <row r="9" spans="2:9" ht="12.75">
      <c r="B9" s="55" t="s">
        <v>207</v>
      </c>
      <c r="C9" s="48"/>
      <c r="D9" s="48"/>
      <c r="E9" s="60" t="s">
        <v>208</v>
      </c>
      <c r="F9" s="48"/>
      <c r="G9" s="48"/>
      <c r="H9" s="48"/>
      <c r="I9" s="48"/>
    </row>
    <row r="10" spans="2:9" ht="12.75">
      <c r="B10" s="50"/>
      <c r="C10" s="48"/>
      <c r="D10" s="48"/>
      <c r="E10" s="60" t="s">
        <v>209</v>
      </c>
      <c r="F10" s="48"/>
      <c r="G10" s="48"/>
      <c r="H10" s="48"/>
      <c r="I10" s="48"/>
    </row>
    <row r="11" spans="2:9" ht="8.25" customHeight="1">
      <c r="B11" s="50"/>
      <c r="C11" s="48"/>
      <c r="D11" s="48"/>
      <c r="E11" s="58"/>
      <c r="F11" s="48"/>
      <c r="G11" s="48"/>
      <c r="H11" s="48"/>
      <c r="I11" s="48"/>
    </row>
    <row r="12" spans="2:9" ht="12.75">
      <c r="B12" s="55" t="s">
        <v>210</v>
      </c>
      <c r="C12" s="48"/>
      <c r="D12" s="48"/>
      <c r="E12" s="101" t="s">
        <v>211</v>
      </c>
      <c r="F12" s="48"/>
      <c r="G12" s="48"/>
      <c r="H12" s="48"/>
      <c r="I12" s="48"/>
    </row>
    <row r="13" spans="2:9" ht="12.75">
      <c r="B13" s="50"/>
      <c r="C13" s="48"/>
      <c r="D13" s="48"/>
      <c r="E13" s="92">
        <v>1023545</v>
      </c>
      <c r="G13" s="48"/>
      <c r="H13" s="48"/>
      <c r="I13" s="48"/>
    </row>
    <row r="14" spans="2:9" ht="7.5" customHeight="1">
      <c r="B14" s="50"/>
      <c r="C14" s="48"/>
      <c r="D14" s="48"/>
      <c r="E14" s="58"/>
      <c r="F14" s="92"/>
      <c r="G14" s="48"/>
      <c r="H14" s="48"/>
      <c r="I14" s="48"/>
    </row>
    <row r="15" spans="2:9" ht="12.75">
      <c r="B15" s="55" t="s">
        <v>212</v>
      </c>
      <c r="C15" s="48"/>
      <c r="D15" s="48"/>
      <c r="E15" s="60" t="s">
        <v>213</v>
      </c>
      <c r="F15" s="48"/>
      <c r="G15" s="48"/>
      <c r="H15" s="48"/>
      <c r="I15" s="48"/>
    </row>
    <row r="16" spans="2:9" ht="6.75" customHeight="1">
      <c r="B16" s="50"/>
      <c r="C16" s="48"/>
      <c r="D16" s="48"/>
      <c r="E16" s="58"/>
      <c r="F16" s="48"/>
      <c r="G16" s="48"/>
      <c r="H16" s="48"/>
      <c r="I16" s="48"/>
    </row>
    <row r="17" spans="2:9" ht="12.75">
      <c r="B17" s="55" t="s">
        <v>214</v>
      </c>
      <c r="C17" s="48"/>
      <c r="D17" s="48"/>
      <c r="E17" s="60" t="s">
        <v>215</v>
      </c>
      <c r="F17" s="48"/>
      <c r="G17" s="48"/>
      <c r="H17" s="48"/>
      <c r="I17" s="48"/>
    </row>
    <row r="18" spans="2:9" ht="8.25" customHeight="1">
      <c r="B18" s="50"/>
      <c r="C18" s="48"/>
      <c r="D18" s="48"/>
      <c r="E18" s="48"/>
      <c r="F18" s="48"/>
      <c r="G18" s="48"/>
      <c r="H18" s="48"/>
      <c r="I18" s="48"/>
    </row>
    <row r="19" spans="2:9" ht="12" customHeight="1">
      <c r="B19" s="55" t="s">
        <v>216</v>
      </c>
      <c r="C19" s="48"/>
      <c r="D19" s="48"/>
      <c r="E19" s="48"/>
      <c r="F19" s="48"/>
      <c r="G19" s="48"/>
      <c r="H19" s="48"/>
      <c r="I19" s="48"/>
    </row>
    <row r="20" spans="2:9" ht="6.75" customHeight="1">
      <c r="B20" s="50"/>
      <c r="C20" s="48"/>
      <c r="D20" s="48"/>
      <c r="E20" s="48"/>
      <c r="F20" s="48"/>
      <c r="G20" s="48"/>
      <c r="H20" s="48"/>
      <c r="I20" s="48"/>
    </row>
    <row r="21" spans="2:9" ht="12.75">
      <c r="B21" s="48"/>
      <c r="C21" s="55" t="s">
        <v>18</v>
      </c>
      <c r="D21" s="55" t="s">
        <v>217</v>
      </c>
      <c r="E21" s="48"/>
      <c r="F21" s="48"/>
      <c r="G21" s="48"/>
      <c r="H21" s="48"/>
      <c r="I21" s="48"/>
    </row>
    <row r="22" spans="2:9" ht="12.75">
      <c r="B22" s="48"/>
      <c r="C22" s="48"/>
      <c r="D22" s="57" t="s">
        <v>218</v>
      </c>
      <c r="E22" s="48"/>
      <c r="F22" s="48"/>
      <c r="G22" s="48"/>
      <c r="I22" s="97">
        <v>70000</v>
      </c>
    </row>
    <row r="23" spans="2:9" ht="12.75">
      <c r="B23" s="48"/>
      <c r="C23" s="48"/>
      <c r="D23" s="100" t="s">
        <v>219</v>
      </c>
      <c r="E23" s="48"/>
      <c r="F23" s="48"/>
      <c r="G23" s="48"/>
      <c r="I23" s="97">
        <v>35000</v>
      </c>
    </row>
    <row r="24" spans="2:9" ht="12.75">
      <c r="B24" s="48"/>
      <c r="C24" s="48"/>
      <c r="D24" s="57" t="s">
        <v>220</v>
      </c>
      <c r="E24" s="48"/>
      <c r="F24" s="48"/>
      <c r="G24" s="48"/>
      <c r="I24" s="98">
        <f>I22-I23</f>
        <v>35000</v>
      </c>
    </row>
    <row r="25" spans="2:9" ht="9" customHeight="1">
      <c r="B25" s="48"/>
      <c r="C25" s="48"/>
      <c r="D25" s="48"/>
      <c r="E25" s="48"/>
      <c r="F25" s="48"/>
      <c r="G25" s="48"/>
      <c r="H25" s="48"/>
      <c r="I25" s="99"/>
    </row>
    <row r="26" spans="2:9" ht="12.75">
      <c r="B26" s="48"/>
      <c r="C26" s="55" t="s">
        <v>20</v>
      </c>
      <c r="D26" s="55" t="s">
        <v>221</v>
      </c>
      <c r="E26" s="48"/>
      <c r="F26" s="48"/>
      <c r="G26" s="48"/>
      <c r="H26" s="48"/>
      <c r="I26" s="48"/>
    </row>
    <row r="27" spans="2:9" ht="12.75">
      <c r="B27" s="48"/>
      <c r="C27" s="48"/>
      <c r="D27" s="57" t="s">
        <v>222</v>
      </c>
      <c r="E27" s="48"/>
      <c r="F27" s="48"/>
      <c r="H27" s="93" t="s">
        <v>90</v>
      </c>
      <c r="I27" s="48"/>
    </row>
    <row r="28" spans="2:9" ht="12.75">
      <c r="B28" s="48"/>
      <c r="C28" s="48"/>
      <c r="D28" s="57" t="s">
        <v>223</v>
      </c>
      <c r="E28" s="48"/>
      <c r="F28" s="48"/>
      <c r="H28" s="93" t="s">
        <v>90</v>
      </c>
      <c r="I28" s="48"/>
    </row>
    <row r="29" spans="2:9" ht="12.75">
      <c r="B29" s="48"/>
      <c r="C29" s="48"/>
      <c r="D29" s="57" t="s">
        <v>224</v>
      </c>
      <c r="E29" s="48"/>
      <c r="F29" s="48"/>
      <c r="H29" s="48"/>
      <c r="I29" s="48"/>
    </row>
    <row r="30" spans="2:9" ht="12.75">
      <c r="B30" s="48"/>
      <c r="C30" s="48"/>
      <c r="D30" s="60" t="s">
        <v>225</v>
      </c>
      <c r="E30" s="48"/>
      <c r="F30" s="48"/>
      <c r="H30" s="105">
        <v>25</v>
      </c>
      <c r="I30" s="100" t="s">
        <v>29</v>
      </c>
    </row>
    <row r="31" spans="2:9" ht="9" customHeight="1">
      <c r="B31" s="48"/>
      <c r="C31" s="48"/>
      <c r="D31" s="48"/>
      <c r="E31" s="48"/>
      <c r="F31" s="48"/>
      <c r="G31" s="94"/>
      <c r="H31" s="48"/>
      <c r="I31" s="48"/>
    </row>
    <row r="32" spans="2:9" ht="12.75">
      <c r="B32" s="48"/>
      <c r="C32" s="55" t="s">
        <v>22</v>
      </c>
      <c r="D32" s="55" t="s">
        <v>226</v>
      </c>
      <c r="E32" s="48"/>
      <c r="F32" s="48"/>
      <c r="G32" s="48"/>
      <c r="H32" s="48"/>
      <c r="I32" s="48"/>
    </row>
    <row r="33" spans="2:9" ht="12.75">
      <c r="B33" s="48"/>
      <c r="C33" s="48"/>
      <c r="D33" s="57" t="s">
        <v>227</v>
      </c>
      <c r="E33" s="48"/>
      <c r="F33" s="48"/>
      <c r="G33" s="48"/>
      <c r="H33" s="48"/>
      <c r="I33" s="48"/>
    </row>
    <row r="34" spans="2:9" ht="12.75">
      <c r="B34" s="48"/>
      <c r="C34" s="48"/>
      <c r="D34" s="57" t="s">
        <v>228</v>
      </c>
      <c r="E34" s="48"/>
      <c r="F34" s="48"/>
      <c r="H34" s="95">
        <v>10000</v>
      </c>
      <c r="I34" s="48"/>
    </row>
    <row r="35" spans="2:9" ht="12.75">
      <c r="B35" s="48"/>
      <c r="C35" s="48"/>
      <c r="D35" s="48"/>
      <c r="E35" s="48"/>
      <c r="F35" s="48"/>
      <c r="G35" s="92"/>
      <c r="H35" s="48"/>
      <c r="I35" s="48"/>
    </row>
    <row r="36" spans="2:9" ht="12.75">
      <c r="B36" s="55" t="s">
        <v>229</v>
      </c>
      <c r="C36" s="48"/>
      <c r="D36" s="48"/>
      <c r="E36" s="48"/>
      <c r="F36" s="48"/>
      <c r="G36" s="48"/>
      <c r="H36" s="48"/>
      <c r="I36" s="48"/>
    </row>
    <row r="37" spans="2:9" ht="12.75">
      <c r="B37" s="48"/>
      <c r="C37" s="48"/>
      <c r="D37" s="48"/>
      <c r="E37" s="48"/>
      <c r="F37" s="48"/>
      <c r="G37" s="48"/>
      <c r="H37" s="48"/>
      <c r="I37" s="48"/>
    </row>
    <row r="38" spans="2:9" ht="12.75">
      <c r="B38" s="48"/>
      <c r="C38" s="48"/>
      <c r="D38" s="57" t="s">
        <v>230</v>
      </c>
      <c r="E38" s="59" t="s">
        <v>231</v>
      </c>
      <c r="F38" s="59"/>
      <c r="G38" s="59"/>
      <c r="H38" s="59"/>
      <c r="I38" s="48"/>
    </row>
    <row r="39" spans="2:9" ht="12.75">
      <c r="B39" s="48"/>
      <c r="C39" s="48"/>
      <c r="D39" s="48"/>
      <c r="E39" s="96" t="s">
        <v>232</v>
      </c>
      <c r="F39" s="96"/>
      <c r="G39" s="96"/>
      <c r="H39" s="96"/>
      <c r="I39" s="48"/>
    </row>
    <row r="40" spans="2:9" ht="12.75">
      <c r="B40" s="48"/>
      <c r="C40" s="48"/>
      <c r="D40" s="48"/>
      <c r="E40" s="48"/>
      <c r="F40" s="48"/>
      <c r="G40" s="48"/>
      <c r="H40" s="48"/>
      <c r="I40" s="48"/>
    </row>
    <row r="41" spans="2:9" ht="12.75">
      <c r="B41" s="48"/>
      <c r="C41" s="48"/>
      <c r="D41" s="57" t="s">
        <v>233</v>
      </c>
      <c r="E41" s="48"/>
      <c r="G41" s="16">
        <f>HLOOKUP(FIXED($H$30,0,TRUE),[0]!relytable,2)</f>
        <v>1.39</v>
      </c>
      <c r="H41" s="48"/>
      <c r="I41" s="48"/>
    </row>
    <row r="42" spans="2:9" ht="12.75">
      <c r="B42" s="48"/>
      <c r="C42" s="48"/>
      <c r="D42" s="57" t="s">
        <v>234</v>
      </c>
      <c r="E42" s="48"/>
      <c r="G42" s="16">
        <f>HLOOKUP(FIXED($H$30,0,TRUE),[0]!expanstable,2)</f>
        <v>1.25</v>
      </c>
      <c r="H42" s="48"/>
      <c r="I42" s="48"/>
    </row>
    <row r="43" spans="2:9" ht="12.75">
      <c r="B43" s="48"/>
      <c r="C43" s="48"/>
      <c r="D43" s="48"/>
      <c r="E43" s="48"/>
      <c r="F43" s="48"/>
      <c r="G43" s="48"/>
      <c r="H43" s="48"/>
      <c r="I43" s="48"/>
    </row>
    <row r="44" spans="2:9" ht="12.75">
      <c r="B44" s="48"/>
      <c r="C44" s="48"/>
      <c r="D44" s="57" t="s">
        <v>230</v>
      </c>
      <c r="E44" s="48"/>
      <c r="F44" s="48"/>
      <c r="G44" s="102">
        <f>E13*G41/(I24-(H34*G42))</f>
        <v>63.232335555555544</v>
      </c>
      <c r="H44" s="48"/>
      <c r="I44" s="48"/>
    </row>
    <row r="45" spans="2:9" ht="12.75">
      <c r="B45" s="48"/>
      <c r="C45" s="48"/>
      <c r="D45" s="48"/>
      <c r="E45" s="48"/>
      <c r="F45" s="48"/>
      <c r="G45" s="48"/>
      <c r="H45" s="48"/>
      <c r="I45" s="48"/>
    </row>
    <row r="46" spans="2:9" ht="12.75">
      <c r="B46" s="48"/>
      <c r="C46" s="48"/>
      <c r="D46" s="57" t="s">
        <v>235</v>
      </c>
      <c r="E46" s="59" t="s">
        <v>236</v>
      </c>
      <c r="F46" s="59"/>
      <c r="G46" s="103">
        <f>ROUND((E13/G44),-3)</f>
        <v>16000</v>
      </c>
      <c r="H46" s="101" t="s">
        <v>237</v>
      </c>
      <c r="I46" s="48"/>
    </row>
    <row r="47" spans="2:9" ht="12.75">
      <c r="B47" s="48"/>
      <c r="C47" s="48"/>
      <c r="D47" s="48"/>
      <c r="E47" s="96" t="s">
        <v>238</v>
      </c>
      <c r="F47" s="96"/>
      <c r="G47" s="48"/>
      <c r="H47" s="48"/>
      <c r="I47" s="48"/>
    </row>
    <row r="48" spans="2:9" ht="12.75">
      <c r="B48" s="48"/>
      <c r="C48" s="48"/>
      <c r="D48" s="48"/>
      <c r="E48" s="48"/>
      <c r="F48" s="48"/>
      <c r="G48" s="48"/>
      <c r="H48" s="48"/>
      <c r="I48" s="48"/>
    </row>
  </sheetData>
  <printOptions/>
  <pageMargins left="1" right="0.3" top="0.5" bottom="0.5" header="0.5" footer="0.5"/>
  <pageSetup horizontalDpi="300" verticalDpi="300" orientation="portrait" scale="98" r:id="rId1"/>
  <headerFooter alignWithMargins="0">
    <oddFooter>&amp;CKcnsampl.xlw:2&amp;RPage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21"/>
  <sheetViews>
    <sheetView workbookViewId="0" topLeftCell="A1">
      <selection activeCell="A1" sqref="A1"/>
      <selection activeCell="A1" sqref="A1"/>
    </sheetView>
  </sheetViews>
  <sheetFormatPr defaultColWidth="9.7109375" defaultRowHeight="12.75"/>
  <cols>
    <col min="1" max="1" width="1.7109375" style="0" customWidth="1"/>
    <col min="2" max="2" width="3.7109375" style="0" customWidth="1"/>
    <col min="3" max="3" width="10.7109375" style="0" customWidth="1"/>
    <col min="4" max="4" width="10.421875" style="0" customWidth="1"/>
    <col min="5" max="5" width="10.57421875" style="0" customWidth="1"/>
    <col min="6" max="6" width="8.8515625" style="0" customWidth="1"/>
    <col min="7" max="7" width="9.7109375" style="0" customWidth="1"/>
    <col min="8" max="8" width="11.421875" style="0" customWidth="1"/>
    <col min="9" max="9" width="9.8515625" style="0" customWidth="1"/>
    <col min="10" max="10" width="8.00390625" style="0" customWidth="1"/>
    <col min="11" max="11" width="2.7109375" style="0" customWidth="1"/>
  </cols>
  <sheetData>
    <row r="2" ht="12.75">
      <c r="B2" s="22" t="s">
        <v>239</v>
      </c>
    </row>
    <row r="3" ht="12.75">
      <c r="B3" s="43" t="s">
        <v>240</v>
      </c>
    </row>
    <row r="4" ht="12.75">
      <c r="B4" s="43" t="s">
        <v>241</v>
      </c>
    </row>
    <row r="5" ht="12.75">
      <c r="B5" s="43" t="s">
        <v>242</v>
      </c>
    </row>
    <row r="6" ht="12.75">
      <c r="C6" s="44"/>
    </row>
    <row r="7" spans="2:10" ht="12.75">
      <c r="B7" s="17" t="s">
        <v>0</v>
      </c>
      <c r="C7" s="18"/>
      <c r="D7" s="18"/>
      <c r="E7" s="18"/>
      <c r="F7" s="18"/>
      <c r="G7" s="18"/>
      <c r="H7" s="18"/>
      <c r="I7" s="9" t="s">
        <v>1</v>
      </c>
      <c r="J7" s="19" t="s">
        <v>243</v>
      </c>
    </row>
    <row r="8" spans="2:10" ht="15">
      <c r="B8" s="17" t="s">
        <v>244</v>
      </c>
      <c r="C8" s="18"/>
      <c r="D8" s="18"/>
      <c r="E8" s="18"/>
      <c r="F8" s="18"/>
      <c r="G8" s="18"/>
      <c r="H8" s="18"/>
      <c r="I8" s="9" t="s">
        <v>204</v>
      </c>
      <c r="J8" s="20" t="s">
        <v>5</v>
      </c>
    </row>
    <row r="9" spans="2:10" ht="12.75">
      <c r="B9" s="17" t="s">
        <v>6</v>
      </c>
      <c r="C9" s="18"/>
      <c r="D9" s="18"/>
      <c r="E9" s="18"/>
      <c r="F9" s="18"/>
      <c r="G9" s="18"/>
      <c r="H9" s="18"/>
      <c r="I9" s="9" t="s">
        <v>7</v>
      </c>
      <c r="J9" s="21" t="s">
        <v>245</v>
      </c>
    </row>
    <row r="12" spans="3:9" ht="12.75">
      <c r="C12" s="9" t="s">
        <v>246</v>
      </c>
      <c r="G12" s="107">
        <f>'PPS Sample Size'!$H$30/100</f>
        <v>0.25</v>
      </c>
      <c r="H12" s="106" t="s">
        <v>247</v>
      </c>
      <c r="I12" s="44" t="str">
        <f>'PPS Sample Size'!$I$2</f>
        <v>B9</v>
      </c>
    </row>
    <row r="13" spans="3:9" ht="12.75">
      <c r="C13" s="9" t="s">
        <v>248</v>
      </c>
      <c r="G13" s="108">
        <f>'PPS Sample Size'!G46</f>
        <v>16000</v>
      </c>
      <c r="H13" s="8" t="s">
        <v>247</v>
      </c>
      <c r="I13" s="44" t="str">
        <f>'PPS Sample Size'!$I$2</f>
        <v>B9</v>
      </c>
    </row>
    <row r="15" ht="12.75">
      <c r="B15" s="22" t="s">
        <v>249</v>
      </c>
    </row>
    <row r="16" spans="3:8" ht="12.75">
      <c r="C16" s="51" t="s">
        <v>250</v>
      </c>
      <c r="D16" s="51" t="s">
        <v>251</v>
      </c>
      <c r="E16" s="51" t="s">
        <v>252</v>
      </c>
      <c r="F16" s="51" t="s">
        <v>253</v>
      </c>
      <c r="G16" s="51" t="s">
        <v>254</v>
      </c>
      <c r="H16" s="51" t="s">
        <v>117</v>
      </c>
    </row>
    <row r="17" spans="3:8" ht="12.75">
      <c r="C17" s="51" t="s">
        <v>255</v>
      </c>
      <c r="D17" s="51" t="s">
        <v>255</v>
      </c>
      <c r="E17" s="51" t="s">
        <v>255</v>
      </c>
      <c r="F17" s="51" t="s">
        <v>29</v>
      </c>
      <c r="G17" s="51" t="s">
        <v>256</v>
      </c>
      <c r="H17" s="51" t="s">
        <v>252</v>
      </c>
    </row>
    <row r="18" spans="3:8" ht="12.75">
      <c r="C18" s="8" t="s">
        <v>257</v>
      </c>
      <c r="D18" s="8" t="s">
        <v>258</v>
      </c>
      <c r="E18" s="8" t="s">
        <v>259</v>
      </c>
      <c r="F18" s="8" t="s">
        <v>260</v>
      </c>
      <c r="G18" s="8" t="s">
        <v>261</v>
      </c>
      <c r="H18" s="8" t="s">
        <v>262</v>
      </c>
    </row>
    <row r="19" spans="2:6" ht="12.75">
      <c r="B19" s="11" t="s">
        <v>263</v>
      </c>
      <c r="F19" s="28" t="s">
        <v>264</v>
      </c>
    </row>
    <row r="20" spans="2:8" ht="12.75">
      <c r="B20">
        <v>1</v>
      </c>
      <c r="C20" s="3">
        <v>0</v>
      </c>
      <c r="D20" s="3">
        <v>0</v>
      </c>
      <c r="E20">
        <f aca="true" t="shared" si="0" ref="E20:E28">IF(AND(C20=0,D20=0),"",C20-D20)</f>
      </c>
      <c r="F20" s="4">
        <f>IF(E20=0,"",IF(C20&gt;0,IF(C20&gt;'PPS Sample Size'!$G$46,NA(),(C20-D20)/C20),NA()))</f>
      </c>
      <c r="G20" t="str">
        <f>IF(C20&gt;0,IF(C20&gt;'PPS Sample Size'!$G$46,NA(),'PPS Sample Size'!$G$46)," ")</f>
        <v> </v>
      </c>
      <c r="H20">
        <f>IF(C20&gt;0,IF(C20&gt;'PPS Sample Size'!$G$46,C20-D20,F20*'PPS Sample Size'!$G$46),"")</f>
      </c>
    </row>
    <row r="21" spans="2:8" ht="12.75">
      <c r="B21">
        <v>2</v>
      </c>
      <c r="C21" s="3">
        <v>0</v>
      </c>
      <c r="D21" s="3">
        <v>0</v>
      </c>
      <c r="E21">
        <f t="shared" si="0"/>
      </c>
      <c r="F21" s="4">
        <f>IF(E21=0,"",IF(C21&gt;0,IF(C21&gt;'PPS Sample Size'!$G$46,NA(),(C21-D21)/C21),NA()))</f>
      </c>
      <c r="G21" t="str">
        <f>IF(C21&gt;0,IF(C21&gt;'PPS Sample Size'!$G$46,NA(),'PPS Sample Size'!$G$46)," ")</f>
        <v> </v>
      </c>
      <c r="H21">
        <f>IF(C21&gt;0,IF(C21&gt;'PPS Sample Size'!$G$46,C21-D21,F21*'PPS Sample Size'!$G$46),"")</f>
      </c>
    </row>
    <row r="22" spans="2:8" ht="12.75">
      <c r="B22">
        <v>3</v>
      </c>
      <c r="C22" s="3">
        <v>0</v>
      </c>
      <c r="D22" s="3">
        <v>0</v>
      </c>
      <c r="E22">
        <f t="shared" si="0"/>
      </c>
      <c r="F22" s="4">
        <f>IF(E22=0,"",IF(C22&gt;0,IF(C22&gt;'PPS Sample Size'!$G$46,NA(),(C22-D22)/C22),NA()))</f>
      </c>
      <c r="G22" t="str">
        <f>IF(C22&gt;0,IF(C22&gt;'PPS Sample Size'!$G$46,NA(),'PPS Sample Size'!$G$46)," ")</f>
        <v> </v>
      </c>
      <c r="H22">
        <f>IF(C22&gt;0,IF(C22&gt;'PPS Sample Size'!$G$46,C22-D22,F22*'PPS Sample Size'!$G$46),"")</f>
      </c>
    </row>
    <row r="23" spans="2:11" ht="12.75">
      <c r="B23">
        <v>4</v>
      </c>
      <c r="C23" s="3">
        <v>0</v>
      </c>
      <c r="D23" s="3">
        <v>0</v>
      </c>
      <c r="E23">
        <f t="shared" si="0"/>
      </c>
      <c r="F23" s="4">
        <f>IF(E23=0,"",IF(C23&gt;0,IF(C23&gt;'PPS Sample Size'!$G$46,NA(),(C23-D23)/C23),NA()))</f>
      </c>
      <c r="G23" t="str">
        <f>IF(C23&gt;0,IF(C23&gt;'PPS Sample Size'!$G$46,NA(),'PPS Sample Size'!$G$46)," ")</f>
        <v> </v>
      </c>
      <c r="H23">
        <f>IF(C23&gt;0,IF(C23&gt;'PPS Sample Size'!$G$46,C23-D23,F23*'PPS Sample Size'!$G$46),"")</f>
      </c>
      <c r="I23" s="6"/>
      <c r="J23" s="6"/>
      <c r="K23" s="6"/>
    </row>
    <row r="24" spans="2:11" ht="12.75">
      <c r="B24">
        <v>5</v>
      </c>
      <c r="C24" s="3"/>
      <c r="D24" s="3"/>
      <c r="E24">
        <f t="shared" si="0"/>
      </c>
      <c r="F24" s="4">
        <f>IF(E24=0,"",IF(C24&gt;0,IF(C24&gt;'PPS Sample Size'!$G$46,NA(),(C24-D24)/C24),NA()))</f>
      </c>
      <c r="G24" t="str">
        <f>IF(C24&gt;0,IF(C24&gt;'PPS Sample Size'!$G$46,NA(),'PPS Sample Size'!$G$46)," ")</f>
        <v> </v>
      </c>
      <c r="H24">
        <f>IF(C24&gt;0,IF(C24&gt;'PPS Sample Size'!$G$46,C24-D24,F24*'PPS Sample Size'!$G$46),"")</f>
      </c>
      <c r="I24" s="6"/>
      <c r="J24" s="6"/>
      <c r="K24" s="6"/>
    </row>
    <row r="25" spans="2:11" ht="12.75">
      <c r="B25">
        <v>6</v>
      </c>
      <c r="C25" s="3"/>
      <c r="D25" s="3"/>
      <c r="E25">
        <f t="shared" si="0"/>
      </c>
      <c r="F25" s="4">
        <f>IF(E25=0,"",IF(C25&gt;0,IF(C25&gt;'PPS Sample Size'!$G$46,NA(),(C25-D25)/C25),NA()))</f>
      </c>
      <c r="G25" t="str">
        <f>IF(C25&gt;0,IF(C25&gt;'PPS Sample Size'!$G$46,NA(),'PPS Sample Size'!$G$46)," ")</f>
        <v> </v>
      </c>
      <c r="H25">
        <f>IF(C25&gt;0,IF(C25&gt;'PPS Sample Size'!$G$46,C25-D25,F25*'PPS Sample Size'!$G$46),"")</f>
      </c>
      <c r="I25" s="6"/>
      <c r="J25" s="6"/>
      <c r="K25" s="6"/>
    </row>
    <row r="26" spans="2:11" ht="12.75">
      <c r="B26">
        <v>7</v>
      </c>
      <c r="C26" s="3"/>
      <c r="D26" s="3"/>
      <c r="E26">
        <f t="shared" si="0"/>
      </c>
      <c r="F26" s="4">
        <f>IF(E26=0,"",IF(C26&gt;0,IF(C26&gt;'PPS Sample Size'!$G$46,NA(),(C26-D26)/C26),NA()))</f>
      </c>
      <c r="G26" t="str">
        <f>IF(C26&gt;0,IF(C26&gt;'PPS Sample Size'!$G$46,NA(),'PPS Sample Size'!$G$46)," ")</f>
        <v> </v>
      </c>
      <c r="H26">
        <f>IF(C26&gt;0,IF(C26&gt;'PPS Sample Size'!$G$46,C26-D26,F26*'PPS Sample Size'!$G$46),"")</f>
      </c>
      <c r="I26" s="6"/>
      <c r="J26" s="6"/>
      <c r="K26" s="6"/>
    </row>
    <row r="27" spans="2:11" ht="12.75">
      <c r="B27">
        <v>8</v>
      </c>
      <c r="C27" s="3"/>
      <c r="D27" s="3"/>
      <c r="E27">
        <f t="shared" si="0"/>
      </c>
      <c r="F27" s="4">
        <f>IF(E27=0,"",IF(C27&gt;0,IF(C27&gt;'PPS Sample Size'!$G$46,NA(),(C27-D27)/C27),NA()))</f>
      </c>
      <c r="G27" t="str">
        <f>IF(C27&gt;0,IF(C27&gt;'PPS Sample Size'!$G$46,NA(),'PPS Sample Size'!$G$46)," ")</f>
        <v> </v>
      </c>
      <c r="H27">
        <f>IF(C27&gt;0,IF(C27&gt;'PPS Sample Size'!$G$46,C27-D27,F27*'PPS Sample Size'!$G$46),"")</f>
      </c>
      <c r="I27" s="6"/>
      <c r="J27" s="6"/>
      <c r="K27" s="6"/>
    </row>
    <row r="28" spans="2:11" ht="12.75">
      <c r="B28">
        <v>9</v>
      </c>
      <c r="C28" s="3"/>
      <c r="D28" s="3"/>
      <c r="E28">
        <f t="shared" si="0"/>
      </c>
      <c r="F28" s="4">
        <f>IF(E28=0,"",IF(C28&gt;0,IF(C28&gt;'PPS Sample Size'!$G$46,NA(),(C28-D28)/C28),NA()))</f>
      </c>
      <c r="G28" t="str">
        <f>IF(C28&gt;0,IF(C28&gt;'PPS Sample Size'!$G$46,NA(),'PPS Sample Size'!$G$46)," ")</f>
        <v> </v>
      </c>
      <c r="H28">
        <f>IF(C28&gt;0,IF(C28&gt;'PPS Sample Size'!$G$46,C28-D28,F28*'PPS Sample Size'!$G$46),"")</f>
      </c>
      <c r="I28" s="6"/>
      <c r="J28" s="6"/>
      <c r="K28" s="6"/>
    </row>
    <row r="29" spans="3:11" ht="12.75">
      <c r="C29" s="31"/>
      <c r="D29" s="31"/>
      <c r="E29" s="26"/>
      <c r="F29" s="4"/>
      <c r="H29" s="26"/>
      <c r="I29" s="6"/>
      <c r="J29" s="6"/>
      <c r="K29" s="6"/>
    </row>
    <row r="30" spans="3:8" ht="13.5" thickBot="1">
      <c r="C30" s="46">
        <f>SUM(C20:C29)</f>
        <v>0</v>
      </c>
      <c r="D30" s="47">
        <f>SUM(D20:D29)</f>
        <v>0</v>
      </c>
      <c r="E30" s="47">
        <f>SUM(E20:E29)</f>
        <v>0</v>
      </c>
      <c r="H30">
        <f>SUM(H20:H29)</f>
        <v>0</v>
      </c>
    </row>
    <row r="31" ht="13.5" thickTop="1"/>
    <row r="32" ht="12.75">
      <c r="B32" s="22" t="s">
        <v>265</v>
      </c>
    </row>
    <row r="33" ht="12.75">
      <c r="C33" s="8" t="s">
        <v>266</v>
      </c>
    </row>
    <row r="34" spans="3:7" ht="12.75">
      <c r="C34" s="8" t="s">
        <v>117</v>
      </c>
      <c r="D34" s="8" t="s">
        <v>267</v>
      </c>
      <c r="E34" s="8" t="s">
        <v>268</v>
      </c>
      <c r="F34" s="8" t="s">
        <v>268</v>
      </c>
      <c r="G34" s="8" t="s">
        <v>269</v>
      </c>
    </row>
    <row r="35" spans="3:7" ht="12.75">
      <c r="C35" s="8" t="s">
        <v>270</v>
      </c>
      <c r="D35" s="8" t="s">
        <v>271</v>
      </c>
      <c r="F35" s="8" t="s">
        <v>272</v>
      </c>
      <c r="G35" s="8" t="s">
        <v>273</v>
      </c>
    </row>
    <row r="36" spans="3:7" ht="12.75">
      <c r="C36" s="8" t="s">
        <v>274</v>
      </c>
      <c r="D36" s="8" t="s">
        <v>275</v>
      </c>
      <c r="E36" s="8" t="s">
        <v>276</v>
      </c>
      <c r="F36" s="8" t="s">
        <v>277</v>
      </c>
      <c r="G36" s="8" t="s">
        <v>278</v>
      </c>
    </row>
    <row r="37" ht="12.75">
      <c r="G37" s="28" t="s">
        <v>279</v>
      </c>
    </row>
    <row r="38" spans="2:7" ht="12.75">
      <c r="B38" s="11" t="s">
        <v>263</v>
      </c>
      <c r="C38" s="16" t="s">
        <v>280</v>
      </c>
      <c r="D38" s="6">
        <f>IF(E20=0,"",HLOOKUP(FIXED('PPS Sample Size'!$H$30,0,TRUE),Tables!$D$9:$K$30,+B20+1))</f>
      </c>
      <c r="E38" s="16" t="s">
        <v>280</v>
      </c>
      <c r="F38" s="16" t="s">
        <v>280</v>
      </c>
      <c r="G38" s="16" t="s">
        <v>280</v>
      </c>
    </row>
    <row r="39" spans="2:7" ht="12.75">
      <c r="B39">
        <v>1</v>
      </c>
      <c r="C39">
        <f>IF($C$20&gt;$G$13,"",$H$20)</f>
      </c>
      <c r="D39" s="6">
        <f>IF(C39=0,"",HLOOKUP(FIXED('PPS Sample Size'!$H$30,0,TRUE),Tables!$D$9:$K$30,+B21+1))</f>
      </c>
      <c r="E39" s="6">
        <f aca="true" t="shared" si="1" ref="E39:E47">IF(C39=0,"",+D39-D38)</f>
      </c>
      <c r="F39" s="6">
        <f aca="true" t="shared" si="2" ref="F39:F47">IF(C39=0,"",+E39-1)</f>
      </c>
      <c r="G39">
        <f aca="true" t="shared" si="3" ref="G39:G47">IF(C39=0,"",+F39*C39)</f>
      </c>
    </row>
    <row r="40" spans="2:7" ht="12.75">
      <c r="B40">
        <v>2</v>
      </c>
      <c r="C40">
        <f>IF($C$21&gt;$G$13,"",$H$21)</f>
      </c>
      <c r="D40" s="6">
        <f>IF(C40=0,"",HLOOKUP(FIXED('PPS Sample Size'!$H$30,0,TRUE),Tables!$D$9:$K$30,+B22+1))</f>
      </c>
      <c r="E40" s="6">
        <f t="shared" si="1"/>
      </c>
      <c r="F40" s="6">
        <f t="shared" si="2"/>
      </c>
      <c r="G40">
        <f t="shared" si="3"/>
      </c>
    </row>
    <row r="41" spans="2:7" ht="12.75">
      <c r="B41">
        <v>3</v>
      </c>
      <c r="C41">
        <f>IF($C$22&gt;$G$13,"",$H$22)</f>
      </c>
      <c r="D41" s="6">
        <f>IF(C41=0,"",HLOOKUP(FIXED('PPS Sample Size'!$H$30,0,TRUE),Tables!$D$9:$K$30,+B23+1))</f>
      </c>
      <c r="E41" s="6">
        <f t="shared" si="1"/>
      </c>
      <c r="F41" s="6">
        <f t="shared" si="2"/>
      </c>
      <c r="G41">
        <f t="shared" si="3"/>
      </c>
    </row>
    <row r="42" spans="2:7" ht="12.75">
      <c r="B42">
        <v>4</v>
      </c>
      <c r="C42">
        <f>IF($C$23&gt;$G$13,"",$H$23)</f>
      </c>
      <c r="D42" s="6">
        <f>IF(C42=0,"",HLOOKUP(FIXED('PPS Sample Size'!$H$30,0,TRUE),Tables!$D$9:$K$30,+B24+1))</f>
      </c>
      <c r="E42" s="6">
        <f t="shared" si="1"/>
      </c>
      <c r="F42" s="6">
        <f t="shared" si="2"/>
      </c>
      <c r="G42">
        <f t="shared" si="3"/>
      </c>
    </row>
    <row r="43" spans="2:7" ht="12.75">
      <c r="B43">
        <v>5</v>
      </c>
      <c r="C43">
        <f>IF($C$24&gt;$G$13,"",$H$24)</f>
      </c>
      <c r="D43" s="6">
        <f>IF(C43=0,"",HLOOKUP(FIXED('PPS Sample Size'!$H$30,0,TRUE),Tables!$D$9:$K$30,+B25+1))</f>
      </c>
      <c r="E43" s="6">
        <f t="shared" si="1"/>
      </c>
      <c r="F43" s="6">
        <f t="shared" si="2"/>
      </c>
      <c r="G43">
        <f t="shared" si="3"/>
      </c>
    </row>
    <row r="44" spans="2:7" ht="12.75">
      <c r="B44">
        <v>6</v>
      </c>
      <c r="C44">
        <f>IF($C$25&gt;$G$13,"",$H$25)</f>
      </c>
      <c r="D44" s="6">
        <f>IF(C44=0,"",HLOOKUP(FIXED('PPS Sample Size'!$H$30,0,TRUE),Tables!$D$9:$K$30,+B26+1))</f>
      </c>
      <c r="E44" s="6">
        <f t="shared" si="1"/>
      </c>
      <c r="F44" s="6">
        <f t="shared" si="2"/>
      </c>
      <c r="G44">
        <f t="shared" si="3"/>
      </c>
    </row>
    <row r="45" spans="2:7" ht="12.75">
      <c r="B45">
        <v>7</v>
      </c>
      <c r="C45">
        <f>IF($C$26&gt;$G$13,"",$H$26)</f>
      </c>
      <c r="D45" s="6">
        <f>IF(C45=0,"",HLOOKUP(FIXED('PPS Sample Size'!$H$30,0,TRUE),Tables!$D$9:$K$30,+B27+1))</f>
      </c>
      <c r="E45" s="6">
        <f t="shared" si="1"/>
      </c>
      <c r="F45" s="6">
        <f t="shared" si="2"/>
      </c>
      <c r="G45">
        <f t="shared" si="3"/>
      </c>
    </row>
    <row r="46" spans="2:7" ht="12.75">
      <c r="B46">
        <v>8</v>
      </c>
      <c r="C46">
        <f>IF($C$27&gt;$G$13,"",$H$27)</f>
      </c>
      <c r="D46" s="6">
        <f>IF(C46=0,"",HLOOKUP(FIXED('PPS Sample Size'!$H$30,0,TRUE),Tables!$D$9:$K$30,+B28+1))</f>
      </c>
      <c r="E46" s="6">
        <f t="shared" si="1"/>
      </c>
      <c r="F46" s="6">
        <f t="shared" si="2"/>
      </c>
      <c r="G46">
        <f t="shared" si="3"/>
      </c>
    </row>
    <row r="47" spans="2:7" ht="12.75">
      <c r="B47">
        <v>9</v>
      </c>
      <c r="C47">
        <f>IF($C$28&gt;$G$13,"",$H$28)</f>
      </c>
      <c r="D47" s="6">
        <f>IF(C47=0,"",HLOOKUP(FIXED('PPS Sample Size'!$H$30,0,TRUE),Tables!$D$9:$K$30,+B29+1))</f>
      </c>
      <c r="E47" s="6">
        <f t="shared" si="1"/>
      </c>
      <c r="F47" s="6">
        <f t="shared" si="2"/>
      </c>
      <c r="G47">
        <f t="shared" si="3"/>
      </c>
    </row>
    <row r="48" spans="4:8" ht="12.75">
      <c r="D48" s="6"/>
      <c r="G48" s="26"/>
      <c r="H48" s="26"/>
    </row>
    <row r="49" spans="2:8" ht="12.75">
      <c r="B49" s="8" t="s">
        <v>281</v>
      </c>
      <c r="C49" s="22" t="s">
        <v>282</v>
      </c>
      <c r="H49">
        <f>SUM(G39:G48)</f>
        <v>0</v>
      </c>
    </row>
    <row r="51" spans="2:5" ht="12.75">
      <c r="B51" s="8" t="s">
        <v>281</v>
      </c>
      <c r="C51" s="22" t="s">
        <v>283</v>
      </c>
      <c r="E51" s="9" t="s">
        <v>284</v>
      </c>
    </row>
    <row r="52" spans="5:8" ht="12.75">
      <c r="E52" s="6">
        <f>'PPS Sample Size'!G41</f>
        <v>1.39</v>
      </c>
      <c r="F52" s="8" t="s">
        <v>285</v>
      </c>
      <c r="G52" s="109">
        <f>'PPS Sample Size'!$G$46</f>
        <v>16000</v>
      </c>
      <c r="H52" s="109">
        <f>E52*G52</f>
        <v>22240</v>
      </c>
    </row>
    <row r="53" ht="12.75">
      <c r="H53" s="26"/>
    </row>
    <row r="54" spans="2:8" ht="13.5" thickBot="1">
      <c r="B54" s="8" t="s">
        <v>286</v>
      </c>
      <c r="C54" s="22" t="s">
        <v>287</v>
      </c>
      <c r="H54" s="46">
        <f>SUM(H30:H52)</f>
        <v>22240</v>
      </c>
    </row>
    <row r="55" spans="3:8" ht="13.5" thickTop="1">
      <c r="C55" s="25"/>
      <c r="H55" s="7"/>
    </row>
    <row r="56" spans="3:8" ht="13.5" thickBot="1">
      <c r="C56" s="22" t="s">
        <v>288</v>
      </c>
      <c r="F56" s="110" t="s">
        <v>289</v>
      </c>
      <c r="G56" s="44" t="str">
        <f>'PPS Sample Size'!$I$2</f>
        <v>B9</v>
      </c>
      <c r="H56" s="46">
        <f>'PPS Sample Size'!I24</f>
        <v>35000</v>
      </c>
    </row>
    <row r="57" ht="13.5" thickTop="1">
      <c r="H57" s="7"/>
    </row>
    <row r="58" spans="3:8" ht="12.75">
      <c r="C58" s="44" t="str">
        <f>IF($H$54&gt;$H$56,$C$84,$C$80)</f>
        <v>Since the upper limit on misstatement does not exceed the tolerable misstatement,</v>
      </c>
      <c r="H58" s="7"/>
    </row>
    <row r="59" spans="3:8" ht="12.75">
      <c r="C59" s="44" t="str">
        <f>IF($H$54&gt;$H$56,$C$85,$C$81)</f>
        <v>the risk of incorrectly accepting the book amount of the population is within the </v>
      </c>
      <c r="H59" s="7"/>
    </row>
    <row r="60" spans="3:8" ht="12.75">
      <c r="C60" s="44" t="str">
        <f>IF($H$54&gt;$H$56,$C$86,$C$82)</f>
        <v>limits specified  (see Acceptable risk of incorrect acceptance, above).</v>
      </c>
      <c r="H60" s="7"/>
    </row>
    <row r="61" ht="12.75">
      <c r="H61" s="7"/>
    </row>
    <row r="62" spans="3:8" ht="12.75">
      <c r="C62" s="33" t="s">
        <v>290</v>
      </c>
      <c r="H62" s="7"/>
    </row>
    <row r="63" spans="3:8" ht="12.75">
      <c r="C63" s="33" t="s">
        <v>291</v>
      </c>
      <c r="H63" s="7"/>
    </row>
    <row r="79" ht="12.75">
      <c r="C79" s="9" t="s">
        <v>292</v>
      </c>
    </row>
    <row r="80" ht="12.75">
      <c r="C80" s="9" t="s">
        <v>293</v>
      </c>
    </row>
    <row r="81" ht="12.75">
      <c r="C81" s="9" t="s">
        <v>294</v>
      </c>
    </row>
    <row r="82" spans="2:6" ht="12.75">
      <c r="B82" s="3"/>
      <c r="C82" s="9" t="s">
        <v>295</v>
      </c>
      <c r="F82" s="45"/>
    </row>
    <row r="83" ht="12.75">
      <c r="B83" s="3"/>
    </row>
    <row r="84" ht="12.75">
      <c r="C84" s="9" t="s">
        <v>296</v>
      </c>
    </row>
    <row r="85" ht="12.75">
      <c r="C85" s="9" t="s">
        <v>297</v>
      </c>
    </row>
    <row r="86" ht="12.75">
      <c r="C86" s="9" t="s">
        <v>298</v>
      </c>
    </row>
    <row r="111" ht="12.75">
      <c r="A111" s="9" t="s">
        <v>299</v>
      </c>
    </row>
    <row r="113" spans="1:2" ht="12.75">
      <c r="A113" s="9" t="s">
        <v>300</v>
      </c>
      <c r="B113" s="9" t="s">
        <v>301</v>
      </c>
    </row>
    <row r="115" spans="1:2" ht="12.75">
      <c r="A115" s="11" t="s">
        <v>302</v>
      </c>
      <c r="B115" s="9" t="s">
        <v>303</v>
      </c>
    </row>
    <row r="117" spans="1:2" ht="12.75">
      <c r="A117" s="11" t="s">
        <v>304</v>
      </c>
      <c r="B117" s="9" t="s">
        <v>305</v>
      </c>
    </row>
    <row r="119" spans="1:4" ht="12.75">
      <c r="A119" s="9" t="s">
        <v>306</v>
      </c>
      <c r="B119" s="9" t="s">
        <v>307</v>
      </c>
      <c r="C119" s="9" t="s">
        <v>308</v>
      </c>
      <c r="D119" s="9" t="s">
        <v>309</v>
      </c>
    </row>
    <row r="120" spans="2:4" ht="12.75">
      <c r="B120" s="9" t="s">
        <v>310</v>
      </c>
      <c r="C120" s="9" t="s">
        <v>311</v>
      </c>
      <c r="D120" s="9" t="s">
        <v>312</v>
      </c>
    </row>
    <row r="121" spans="2:4" ht="12.75">
      <c r="B121" s="9" t="s">
        <v>313</v>
      </c>
      <c r="C121" s="9" t="s">
        <v>314</v>
      </c>
      <c r="D121" s="9" t="s">
        <v>315</v>
      </c>
    </row>
  </sheetData>
  <printOptions/>
  <pageMargins left="1" right="0.3" top="0.5" bottom="0.5" header="0.5" footer="0.5"/>
  <pageSetup fitToHeight="1" fitToWidth="1" horizontalDpi="300" verticalDpi="3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K38"/>
  <sheetViews>
    <sheetView workbookViewId="0" topLeftCell="A1">
      <selection activeCell="A1" sqref="A1"/>
      <selection activeCell="A1" sqref="A1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3" width="12.28125" style="0" customWidth="1"/>
    <col min="4" max="4" width="8.7109375" style="0" customWidth="1"/>
    <col min="6" max="7" width="8.57421875" style="0" customWidth="1"/>
    <col min="8" max="8" width="8.28125" style="0" customWidth="1"/>
    <col min="9" max="9" width="8.00390625" style="0" customWidth="1"/>
    <col min="10" max="10" width="8.28125" style="0" customWidth="1"/>
    <col min="11" max="11" width="6.8515625" style="0" customWidth="1"/>
  </cols>
  <sheetData>
    <row r="3" ht="12.75">
      <c r="C3" s="9" t="s">
        <v>316</v>
      </c>
    </row>
    <row r="5" spans="3:4" ht="12.75">
      <c r="C5" s="9" t="s">
        <v>317</v>
      </c>
      <c r="D5" s="12" t="s">
        <v>318</v>
      </c>
    </row>
    <row r="7" spans="3:4" ht="12.75">
      <c r="C7" s="9" t="s">
        <v>191</v>
      </c>
      <c r="D7" s="8" t="s">
        <v>319</v>
      </c>
    </row>
    <row r="8" spans="3:10" ht="12.75">
      <c r="C8" s="9" t="s">
        <v>320</v>
      </c>
      <c r="D8" s="8" t="s">
        <v>321</v>
      </c>
      <c r="E8" s="8" t="s">
        <v>322</v>
      </c>
      <c r="F8" s="8" t="s">
        <v>323</v>
      </c>
      <c r="G8" s="8" t="s">
        <v>324</v>
      </c>
      <c r="H8" s="8" t="s">
        <v>325</v>
      </c>
      <c r="I8" s="8" t="s">
        <v>326</v>
      </c>
      <c r="J8" s="8" t="s">
        <v>327</v>
      </c>
    </row>
    <row r="9" spans="3:11" ht="12.75">
      <c r="C9" s="9" t="s">
        <v>328</v>
      </c>
      <c r="D9" s="104" t="s">
        <v>59</v>
      </c>
      <c r="E9" s="35" t="s">
        <v>152</v>
      </c>
      <c r="F9" s="35" t="s">
        <v>157</v>
      </c>
      <c r="G9" s="35" t="s">
        <v>158</v>
      </c>
      <c r="H9" s="35" t="s">
        <v>159</v>
      </c>
      <c r="I9" s="35" t="s">
        <v>329</v>
      </c>
      <c r="J9" s="35" t="s">
        <v>330</v>
      </c>
      <c r="K9" s="27"/>
    </row>
    <row r="10" spans="3:11" ht="12.75">
      <c r="C10">
        <v>0</v>
      </c>
      <c r="D10" s="36">
        <v>4.61</v>
      </c>
      <c r="E10" s="37">
        <v>3</v>
      </c>
      <c r="F10" s="37">
        <v>2.31</v>
      </c>
      <c r="G10" s="37">
        <v>1.9</v>
      </c>
      <c r="H10" s="37">
        <v>1.61</v>
      </c>
      <c r="I10" s="37">
        <v>1.39</v>
      </c>
      <c r="J10" s="37">
        <v>1.21</v>
      </c>
      <c r="K10" s="38" t="s">
        <v>331</v>
      </c>
    </row>
    <row r="11" spans="3:10" ht="12.75">
      <c r="C11">
        <v>1</v>
      </c>
      <c r="D11" s="6">
        <v>6.64</v>
      </c>
      <c r="E11" s="6">
        <v>4.75</v>
      </c>
      <c r="F11" s="6">
        <v>3.89</v>
      </c>
      <c r="G11" s="6">
        <v>3.38</v>
      </c>
      <c r="H11" s="6">
        <v>3</v>
      </c>
      <c r="I11" s="6">
        <v>2.7</v>
      </c>
      <c r="J11" s="6">
        <v>2.44</v>
      </c>
    </row>
    <row r="12" spans="3:10" ht="12.75">
      <c r="C12">
        <v>2</v>
      </c>
      <c r="D12" s="6">
        <v>8.41</v>
      </c>
      <c r="E12" s="6">
        <v>6.3</v>
      </c>
      <c r="F12" s="6">
        <v>5.33</v>
      </c>
      <c r="G12" s="6">
        <v>4.72</v>
      </c>
      <c r="H12" s="6">
        <v>4.28</v>
      </c>
      <c r="I12" s="6">
        <v>3.93</v>
      </c>
      <c r="J12" s="6">
        <v>3.62</v>
      </c>
    </row>
    <row r="13" spans="3:10" ht="12.75">
      <c r="C13">
        <v>3</v>
      </c>
      <c r="D13" s="6">
        <v>10.05</v>
      </c>
      <c r="E13" s="6">
        <v>7.76</v>
      </c>
      <c r="F13" s="6">
        <v>6.69</v>
      </c>
      <c r="G13" s="6">
        <v>6.02</v>
      </c>
      <c r="H13" s="6">
        <v>5.52</v>
      </c>
      <c r="I13" s="6">
        <v>5.11</v>
      </c>
      <c r="J13" s="6">
        <v>4.77</v>
      </c>
    </row>
    <row r="14" spans="3:10" ht="12.75">
      <c r="C14">
        <v>4</v>
      </c>
      <c r="D14" s="6">
        <v>11.61</v>
      </c>
      <c r="E14" s="6">
        <v>9.16</v>
      </c>
      <c r="F14" s="6">
        <v>8</v>
      </c>
      <c r="G14" s="6">
        <v>7.27</v>
      </c>
      <c r="H14" s="6">
        <v>6.73</v>
      </c>
      <c r="I14" s="6">
        <v>6.28</v>
      </c>
      <c r="J14" s="6">
        <v>5.9</v>
      </c>
    </row>
    <row r="15" spans="3:10" ht="12.75">
      <c r="C15">
        <v>5</v>
      </c>
      <c r="D15" s="6">
        <v>13.11</v>
      </c>
      <c r="E15" s="6">
        <v>10.52</v>
      </c>
      <c r="F15" s="6">
        <v>9.28</v>
      </c>
      <c r="G15" s="6">
        <v>8.5</v>
      </c>
      <c r="H15" s="6">
        <v>7.91</v>
      </c>
      <c r="I15" s="6">
        <v>7.43</v>
      </c>
      <c r="J15" s="6">
        <v>7.01</v>
      </c>
    </row>
    <row r="16" spans="3:10" ht="12.75">
      <c r="C16">
        <v>6</v>
      </c>
      <c r="D16" s="6">
        <v>14.57</v>
      </c>
      <c r="E16" s="6">
        <v>11.85</v>
      </c>
      <c r="F16" s="6">
        <v>10.54</v>
      </c>
      <c r="G16" s="6">
        <v>9.71</v>
      </c>
      <c r="H16" s="6">
        <v>9.08</v>
      </c>
      <c r="I16" s="6">
        <v>8.56</v>
      </c>
      <c r="J16" s="6">
        <v>8.12</v>
      </c>
    </row>
    <row r="17" spans="3:10" ht="12.75">
      <c r="C17">
        <v>7</v>
      </c>
      <c r="D17" s="6">
        <v>16</v>
      </c>
      <c r="E17" s="6">
        <v>13.15</v>
      </c>
      <c r="F17" s="6">
        <v>11.78</v>
      </c>
      <c r="G17" s="6">
        <v>10.9</v>
      </c>
      <c r="H17" s="6">
        <v>10.24</v>
      </c>
      <c r="I17" s="6">
        <v>9.69</v>
      </c>
      <c r="J17" s="6">
        <v>9.21</v>
      </c>
    </row>
    <row r="18" spans="3:10" ht="12.75">
      <c r="C18">
        <v>8</v>
      </c>
      <c r="D18" s="6">
        <v>17.41</v>
      </c>
      <c r="E18" s="6">
        <v>14.44</v>
      </c>
      <c r="F18" s="6">
        <v>13</v>
      </c>
      <c r="G18" s="6">
        <v>12.08</v>
      </c>
      <c r="H18" s="6">
        <v>11.38</v>
      </c>
      <c r="I18" s="6">
        <v>10.81</v>
      </c>
      <c r="J18" s="6">
        <v>10.31</v>
      </c>
    </row>
    <row r="19" spans="3:10" ht="12.75">
      <c r="C19">
        <v>9</v>
      </c>
      <c r="D19" s="6">
        <v>18.79</v>
      </c>
      <c r="E19" s="6">
        <v>15.71</v>
      </c>
      <c r="F19" s="6">
        <v>14.21</v>
      </c>
      <c r="G19" s="6">
        <v>13.25</v>
      </c>
      <c r="H19" s="6">
        <v>12.52</v>
      </c>
      <c r="I19" s="6">
        <v>11.92</v>
      </c>
      <c r="J19" s="6">
        <v>11.39</v>
      </c>
    </row>
    <row r="20" spans="3:10" ht="12.75">
      <c r="C20">
        <v>10</v>
      </c>
      <c r="D20" s="6">
        <v>20.15</v>
      </c>
      <c r="E20" s="6">
        <v>16.97</v>
      </c>
      <c r="F20" s="6">
        <v>15.41</v>
      </c>
      <c r="G20" s="6">
        <v>14.42</v>
      </c>
      <c r="H20" s="6">
        <v>13.66</v>
      </c>
      <c r="I20" s="6">
        <v>13.02</v>
      </c>
      <c r="J20" s="6">
        <v>12.47</v>
      </c>
    </row>
    <row r="21" spans="3:10" ht="12.75">
      <c r="C21">
        <v>11</v>
      </c>
      <c r="D21" s="6">
        <v>21.49</v>
      </c>
      <c r="E21" s="6">
        <v>18.21</v>
      </c>
      <c r="F21" s="6">
        <v>16.6</v>
      </c>
      <c r="G21" s="6">
        <v>15.57</v>
      </c>
      <c r="H21" s="6">
        <v>14.78</v>
      </c>
      <c r="I21" s="6">
        <v>14.13</v>
      </c>
      <c r="J21" s="6">
        <v>13.55</v>
      </c>
    </row>
    <row r="22" spans="3:10" ht="12.75">
      <c r="C22">
        <v>12</v>
      </c>
      <c r="D22" s="6">
        <v>22.83</v>
      </c>
      <c r="E22" s="6">
        <v>19.45</v>
      </c>
      <c r="F22" s="6">
        <v>17.79</v>
      </c>
      <c r="G22" s="6">
        <v>16.72</v>
      </c>
      <c r="H22" s="6">
        <v>15.9</v>
      </c>
      <c r="I22" s="6">
        <v>15.22</v>
      </c>
      <c r="J22" s="6">
        <v>14.63</v>
      </c>
    </row>
    <row r="23" spans="3:10" ht="12.75">
      <c r="C23">
        <v>13</v>
      </c>
      <c r="D23" s="6">
        <v>24.14</v>
      </c>
      <c r="E23" s="6">
        <v>20.67</v>
      </c>
      <c r="F23" s="6">
        <v>18.96</v>
      </c>
      <c r="G23" s="6">
        <v>17.86</v>
      </c>
      <c r="H23" s="6">
        <v>17.02</v>
      </c>
      <c r="I23" s="6">
        <v>16.32</v>
      </c>
      <c r="J23" s="6">
        <v>15.7</v>
      </c>
    </row>
    <row r="24" spans="3:10" ht="12.75">
      <c r="C24">
        <v>14</v>
      </c>
      <c r="D24" s="6">
        <v>25.45</v>
      </c>
      <c r="E24" s="6">
        <v>21.89</v>
      </c>
      <c r="F24" s="6">
        <v>20.13</v>
      </c>
      <c r="G24" s="6">
        <v>19</v>
      </c>
      <c r="H24" s="6">
        <v>18.13</v>
      </c>
      <c r="I24" s="6">
        <v>17.4</v>
      </c>
      <c r="J24" s="6">
        <v>16.77</v>
      </c>
    </row>
    <row r="25" spans="3:10" ht="12.75">
      <c r="C25">
        <v>15</v>
      </c>
      <c r="D25" s="6">
        <v>26.75</v>
      </c>
      <c r="E25" s="6">
        <v>23.1</v>
      </c>
      <c r="F25" s="6">
        <v>21.3</v>
      </c>
      <c r="G25" s="6">
        <v>20.13</v>
      </c>
      <c r="H25" s="6">
        <v>19.24</v>
      </c>
      <c r="I25" s="6">
        <v>18.49</v>
      </c>
      <c r="J25" s="6">
        <v>17.84</v>
      </c>
    </row>
    <row r="26" spans="3:10" ht="12.75">
      <c r="C26">
        <v>16</v>
      </c>
      <c r="D26" s="6">
        <v>28.03</v>
      </c>
      <c r="E26" s="6">
        <v>24.31</v>
      </c>
      <c r="F26" s="6">
        <v>22.46</v>
      </c>
      <c r="G26" s="6">
        <v>21.26</v>
      </c>
      <c r="H26" s="6">
        <v>20.34</v>
      </c>
      <c r="I26" s="6">
        <v>19.58</v>
      </c>
      <c r="J26" s="6">
        <v>18.9</v>
      </c>
    </row>
    <row r="27" spans="3:10" ht="12.75">
      <c r="C27">
        <v>17</v>
      </c>
      <c r="D27" s="6">
        <v>29.31</v>
      </c>
      <c r="E27" s="6">
        <v>25.5</v>
      </c>
      <c r="F27" s="6">
        <v>23.61</v>
      </c>
      <c r="G27" s="6">
        <v>22.39</v>
      </c>
      <c r="H27" s="6">
        <v>21.44</v>
      </c>
      <c r="I27" s="6">
        <v>20.66</v>
      </c>
      <c r="J27" s="6">
        <v>19.97</v>
      </c>
    </row>
    <row r="28" spans="3:10" ht="12.75">
      <c r="C28">
        <v>18</v>
      </c>
      <c r="D28" s="6">
        <v>30.59</v>
      </c>
      <c r="E28" s="6">
        <v>26.7</v>
      </c>
      <c r="F28" s="6">
        <v>24.76</v>
      </c>
      <c r="G28" s="6">
        <v>23.51</v>
      </c>
      <c r="H28" s="6">
        <v>22.54</v>
      </c>
      <c r="I28" s="6">
        <v>21.74</v>
      </c>
      <c r="J28" s="6">
        <v>21.03</v>
      </c>
    </row>
    <row r="29" spans="3:10" ht="12.75">
      <c r="C29">
        <v>19</v>
      </c>
      <c r="D29" s="6">
        <v>31.85</v>
      </c>
      <c r="E29" s="6">
        <v>27.88</v>
      </c>
      <c r="F29" s="6">
        <v>25.91</v>
      </c>
      <c r="G29" s="6">
        <v>24.63</v>
      </c>
      <c r="H29" s="6">
        <v>23.64</v>
      </c>
      <c r="I29" s="6">
        <v>22.81</v>
      </c>
      <c r="J29" s="6">
        <v>22.09</v>
      </c>
    </row>
    <row r="30" spans="3:10" ht="12.75">
      <c r="C30">
        <v>20</v>
      </c>
      <c r="D30" s="6">
        <v>33.11</v>
      </c>
      <c r="E30" s="6">
        <v>29.07</v>
      </c>
      <c r="F30" s="6">
        <v>27.05</v>
      </c>
      <c r="G30" s="6">
        <v>25.74</v>
      </c>
      <c r="H30" s="6">
        <v>24.73</v>
      </c>
      <c r="I30" s="6">
        <v>23.89</v>
      </c>
      <c r="J30" s="6">
        <v>23.15</v>
      </c>
    </row>
    <row r="34" ht="12.75">
      <c r="C34" s="9" t="s">
        <v>332</v>
      </c>
    </row>
    <row r="35" ht="12.75">
      <c r="D35" s="9" t="s">
        <v>333</v>
      </c>
    </row>
    <row r="36" spans="4:10" ht="12.75">
      <c r="D36" s="8" t="s">
        <v>321</v>
      </c>
      <c r="E36" s="8" t="s">
        <v>322</v>
      </c>
      <c r="F36" s="8" t="s">
        <v>323</v>
      </c>
      <c r="G36" s="8" t="s">
        <v>324</v>
      </c>
      <c r="H36" s="8" t="s">
        <v>325</v>
      </c>
      <c r="I36" s="8" t="s">
        <v>326</v>
      </c>
      <c r="J36" s="8" t="s">
        <v>327</v>
      </c>
    </row>
    <row r="37" spans="4:10" ht="12.75">
      <c r="D37" s="34" t="s">
        <v>59</v>
      </c>
      <c r="E37" s="35" t="s">
        <v>152</v>
      </c>
      <c r="F37" s="35" t="s">
        <v>157</v>
      </c>
      <c r="G37" s="35" t="s">
        <v>158</v>
      </c>
      <c r="H37" s="35" t="s">
        <v>159</v>
      </c>
      <c r="I37" s="35" t="s">
        <v>329</v>
      </c>
      <c r="J37" s="39" t="s">
        <v>330</v>
      </c>
    </row>
    <row r="38" spans="4:11" ht="12.75">
      <c r="D38" s="40">
        <v>1.9</v>
      </c>
      <c r="E38" s="41">
        <v>1.6</v>
      </c>
      <c r="F38" s="41">
        <v>1.5</v>
      </c>
      <c r="G38" s="41">
        <v>1.4</v>
      </c>
      <c r="H38" s="41">
        <v>1.3</v>
      </c>
      <c r="I38" s="37">
        <v>1.25</v>
      </c>
      <c r="J38" s="42">
        <v>1.2</v>
      </c>
      <c r="K38" t="e">
        <f>NA()</f>
        <v>#N/A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SCHWARTZ</dc:creator>
  <cp:keywords/>
  <dc:description/>
  <cp:lastModifiedBy>Ray Whittington</cp:lastModifiedBy>
  <cp:lastPrinted>2000-07-05T16:25:42Z</cp:lastPrinted>
  <dcterms:created xsi:type="dcterms:W3CDTF">2003-05-15T20:19:36Z</dcterms:created>
  <dcterms:modified xsi:type="dcterms:W3CDTF">2003-05-15T20:19:36Z</dcterms:modified>
  <cp:category/>
  <cp:version/>
  <cp:contentType/>
  <cp:contentStatus/>
</cp:coreProperties>
</file>